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fileSharing readOnlyRecommended="1"/>
  <workbookPr/>
  <mc:AlternateContent xmlns:mc="http://schemas.openxmlformats.org/markup-compatibility/2006">
    <mc:Choice Requires="x15">
      <x15ac:absPath xmlns:x15ac="http://schemas.microsoft.com/office/spreadsheetml/2010/11/ac" url="R:\Financial Aid\Communication\2526\Billing Worksheets\"/>
    </mc:Choice>
  </mc:AlternateContent>
  <xr:revisionPtr revIDLastSave="0" documentId="13_ncr:1_{AF3FAD93-5310-4985-8B91-8AF53913906C}" xr6:coauthVersionLast="47" xr6:coauthVersionMax="47" xr10:uidLastSave="{00000000-0000-0000-0000-000000000000}"/>
  <workbookProtection workbookAlgorithmName="SHA-512" workbookHashValue="Agjn60PJOSQmJ7DcUfUmdBhNJyenzcQlgpMQdbfMUvhQZpm4VlnIf+lFGCvethaImXl31BnKTyG7G3/9MJqowA==" workbookSaltValue="c61kfuLQkiwPKBH/57cw+g==" workbookSpinCount="100000" lockStructure="1"/>
  <bookViews>
    <workbookView xWindow="28680" yWindow="-120" windowWidth="29040" windowHeight="15720" tabRatio="721" xr2:uid="{00000000-000D-0000-FFFF-FFFF00000000}"/>
  </bookViews>
  <sheets>
    <sheet name="Worksheets Home" sheetId="4" r:id="rId1"/>
    <sheet name="CFSP, CP, CI, HE, RMS" sheetId="32" r:id="rId2"/>
    <sheet name="Ph.D., Ed.D." sheetId="36" r:id="rId3"/>
    <sheet name="ECSE, ELPS, TE" sheetId="37" r:id="rId4"/>
    <sheet name="On-Campus MLIS" sheetId="38" r:id="rId5"/>
    <sheet name="Online Programs" sheetId="15" r:id="rId6"/>
    <sheet name="Data" sheetId="31" state="hidden" r:id="rId7"/>
  </sheets>
  <definedNames>
    <definedName name="Cred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5" i="38" l="1"/>
  <c r="L15" i="38"/>
  <c r="J15" i="38"/>
  <c r="N15" i="37"/>
  <c r="L15" i="37"/>
  <c r="J15" i="37"/>
  <c r="N15" i="36"/>
  <c r="L15" i="36"/>
  <c r="J15" i="36"/>
  <c r="N15" i="32"/>
  <c r="L15" i="32"/>
  <c r="J15" i="32"/>
  <c r="O13" i="15"/>
  <c r="M13" i="15"/>
  <c r="K13" i="15"/>
  <c r="I13" i="15"/>
  <c r="O12" i="15"/>
  <c r="M12" i="15"/>
  <c r="K12" i="15"/>
  <c r="I12" i="15"/>
  <c r="N10" i="38"/>
  <c r="L10" i="38"/>
  <c r="J10" i="38"/>
  <c r="H24" i="38"/>
  <c r="N23" i="38"/>
  <c r="L23" i="38"/>
  <c r="J23" i="38"/>
  <c r="N22" i="38"/>
  <c r="L22" i="38"/>
  <c r="J22" i="38"/>
  <c r="N21" i="38"/>
  <c r="L21" i="38"/>
  <c r="J21" i="38"/>
  <c r="N20" i="38"/>
  <c r="L20" i="38"/>
  <c r="J20" i="38"/>
  <c r="N19" i="38"/>
  <c r="L19" i="38"/>
  <c r="J19" i="38"/>
  <c r="N14" i="38"/>
  <c r="J14" i="38"/>
  <c r="N13" i="38"/>
  <c r="L13" i="38"/>
  <c r="J13" i="38"/>
  <c r="N12" i="38"/>
  <c r="L12" i="38"/>
  <c r="J12" i="38"/>
  <c r="N10" i="37"/>
  <c r="L10" i="37"/>
  <c r="J10" i="37"/>
  <c r="H24" i="37"/>
  <c r="N23" i="37"/>
  <c r="L23" i="37"/>
  <c r="J23" i="37"/>
  <c r="N22" i="37"/>
  <c r="L22" i="37"/>
  <c r="J22" i="37"/>
  <c r="N21" i="37"/>
  <c r="L21" i="37"/>
  <c r="J21" i="37"/>
  <c r="N20" i="37"/>
  <c r="L20" i="37"/>
  <c r="J20" i="37"/>
  <c r="N19" i="37"/>
  <c r="L19" i="37"/>
  <c r="J19" i="37"/>
  <c r="N14" i="37"/>
  <c r="J14" i="37"/>
  <c r="N13" i="37"/>
  <c r="L13" i="37"/>
  <c r="J13" i="37"/>
  <c r="N12" i="37"/>
  <c r="L12" i="37"/>
  <c r="J12" i="37"/>
  <c r="N10" i="36"/>
  <c r="L10" i="36"/>
  <c r="J10" i="36"/>
  <c r="H24" i="36"/>
  <c r="N23" i="36"/>
  <c r="L23" i="36"/>
  <c r="J23" i="36"/>
  <c r="N22" i="36"/>
  <c r="L22" i="36"/>
  <c r="J22" i="36"/>
  <c r="N21" i="36"/>
  <c r="L21" i="36"/>
  <c r="J21" i="36"/>
  <c r="N20" i="36"/>
  <c r="L20" i="36"/>
  <c r="J20" i="36"/>
  <c r="N19" i="36"/>
  <c r="L19" i="36"/>
  <c r="J19" i="36"/>
  <c r="N14" i="36"/>
  <c r="J14" i="36"/>
  <c r="N13" i="36"/>
  <c r="L13" i="36"/>
  <c r="J13" i="36"/>
  <c r="N12" i="36"/>
  <c r="L12" i="36"/>
  <c r="J12" i="36"/>
  <c r="N13" i="32"/>
  <c r="L13" i="32"/>
  <c r="J13" i="32"/>
  <c r="N12" i="32"/>
  <c r="L12" i="32"/>
  <c r="J12" i="32"/>
  <c r="N10" i="32"/>
  <c r="L10" i="32"/>
  <c r="J10" i="32"/>
  <c r="O20" i="15"/>
  <c r="M20" i="15"/>
  <c r="K20" i="15"/>
  <c r="I20" i="15"/>
  <c r="O19" i="15"/>
  <c r="M19" i="15"/>
  <c r="K19" i="15"/>
  <c r="I19" i="15"/>
  <c r="N22" i="32"/>
  <c r="L22" i="32"/>
  <c r="J22" i="32"/>
  <c r="N21" i="32"/>
  <c r="L21" i="32"/>
  <c r="J21" i="32"/>
  <c r="H14" i="38" l="1"/>
  <c r="H15" i="38"/>
  <c r="H15" i="37"/>
  <c r="H14" i="36"/>
  <c r="H21" i="38"/>
  <c r="H22" i="38"/>
  <c r="N16" i="38"/>
  <c r="L25" i="38"/>
  <c r="H12" i="38"/>
  <c r="H13" i="38"/>
  <c r="L16" i="38"/>
  <c r="N25" i="38"/>
  <c r="J25" i="38"/>
  <c r="H10" i="38"/>
  <c r="J16" i="38"/>
  <c r="H22" i="37"/>
  <c r="L25" i="37"/>
  <c r="H21" i="37"/>
  <c r="H14" i="37"/>
  <c r="N16" i="37"/>
  <c r="H13" i="37"/>
  <c r="H12" i="37"/>
  <c r="L16" i="37"/>
  <c r="J25" i="37"/>
  <c r="N25" i="37"/>
  <c r="H10" i="37"/>
  <c r="J16" i="37"/>
  <c r="L25" i="36"/>
  <c r="H22" i="36"/>
  <c r="N16" i="36"/>
  <c r="H15" i="36"/>
  <c r="H21" i="36"/>
  <c r="H25" i="36" s="1"/>
  <c r="H13" i="36"/>
  <c r="L16" i="36"/>
  <c r="H12" i="36"/>
  <c r="N25" i="36"/>
  <c r="J25" i="36"/>
  <c r="H10" i="36"/>
  <c r="J16" i="36"/>
  <c r="H25" i="38" l="1"/>
  <c r="H25" i="37"/>
  <c r="L27" i="37"/>
  <c r="L27" i="36"/>
  <c r="N27" i="38"/>
  <c r="L27" i="38"/>
  <c r="H16" i="38"/>
  <c r="J27" i="38"/>
  <c r="N27" i="37"/>
  <c r="H16" i="37"/>
  <c r="H27" i="37" s="1"/>
  <c r="J27" i="37"/>
  <c r="J27" i="36"/>
  <c r="N27" i="36"/>
  <c r="H16" i="36"/>
  <c r="H27" i="36" s="1"/>
  <c r="H27" i="38" l="1"/>
  <c r="G20" i="15"/>
  <c r="G19" i="15"/>
  <c r="N14" i="32" l="1"/>
  <c r="J14" i="32"/>
  <c r="J19" i="32" l="1"/>
  <c r="L19" i="32"/>
  <c r="N19" i="32"/>
  <c r="J20" i="32"/>
  <c r="L20" i="32"/>
  <c r="N20" i="32"/>
  <c r="J23" i="32"/>
  <c r="L23" i="32"/>
  <c r="N23" i="32"/>
  <c r="H24" i="32"/>
  <c r="H13" i="32" l="1"/>
  <c r="N16" i="32"/>
  <c r="H14" i="32"/>
  <c r="H15" i="32"/>
  <c r="L16" i="32"/>
  <c r="H12" i="32"/>
  <c r="H10" i="32"/>
  <c r="J25" i="32"/>
  <c r="H21" i="32"/>
  <c r="N25" i="32"/>
  <c r="L25" i="32"/>
  <c r="H22" i="32"/>
  <c r="J16" i="32"/>
  <c r="N27" i="32" l="1"/>
  <c r="L27" i="32"/>
  <c r="H16" i="32"/>
  <c r="J27" i="32"/>
  <c r="H25" i="32"/>
  <c r="H27" i="32" l="1"/>
  <c r="O21" i="15" l="1"/>
  <c r="O18" i="15"/>
  <c r="O17" i="15"/>
  <c r="M21" i="15"/>
  <c r="M18" i="15"/>
  <c r="M17" i="15"/>
  <c r="K21" i="15"/>
  <c r="K18" i="15"/>
  <c r="K17" i="15"/>
  <c r="I21" i="15"/>
  <c r="I18" i="15"/>
  <c r="I17" i="15"/>
  <c r="G22" i="15" l="1"/>
  <c r="M23" i="15" l="1"/>
  <c r="O14" i="15"/>
  <c r="M14" i="15"/>
  <c r="K14" i="15"/>
  <c r="G13" i="15"/>
  <c r="I14" i="15"/>
  <c r="G12" i="15"/>
  <c r="G23" i="15"/>
  <c r="O23" i="15" l="1"/>
  <c r="O25" i="15" s="1"/>
  <c r="M25" i="15"/>
  <c r="I23" i="15"/>
  <c r="I25" i="15" s="1"/>
  <c r="G14" i="15"/>
  <c r="G25" i="15" s="1"/>
  <c r="K23" i="15"/>
  <c r="K25" i="15" s="1"/>
</calcChain>
</file>

<file path=xl/sharedStrings.xml><?xml version="1.0" encoding="utf-8"?>
<sst xmlns="http://schemas.openxmlformats.org/spreadsheetml/2006/main" count="257" uniqueCount="105">
  <si>
    <t>Fees:</t>
  </si>
  <si>
    <r>
      <t>Tuition</t>
    </r>
    <r>
      <rPr>
        <vertAlign val="superscript"/>
        <sz val="11"/>
        <color theme="1"/>
        <rFont val="Calibri"/>
        <family val="2"/>
        <scheme val="minor"/>
      </rPr>
      <t>1</t>
    </r>
  </si>
  <si>
    <r>
      <t>Technology Fee</t>
    </r>
    <r>
      <rPr>
        <vertAlign val="superscript"/>
        <sz val="11"/>
        <color theme="1"/>
        <rFont val="Calibri"/>
        <family val="2"/>
        <scheme val="minor"/>
      </rPr>
      <t>2</t>
    </r>
  </si>
  <si>
    <t>ANNUAL</t>
  </si>
  <si>
    <t>Yes</t>
  </si>
  <si>
    <t>No</t>
  </si>
  <si>
    <t>Total Charges:</t>
  </si>
  <si>
    <t>CHARGES</t>
  </si>
  <si>
    <t>Outside Scholarship(s)</t>
  </si>
  <si>
    <t>Other Assistance</t>
  </si>
  <si>
    <t>Total Credits:</t>
  </si>
  <si>
    <t>CREDITS</t>
  </si>
  <si>
    <t>Estimated Balance:</t>
  </si>
  <si>
    <t>Notes:</t>
  </si>
  <si>
    <r>
      <t xml:space="preserve">Financial Aid | University Hall 255 | Ph: 303-871-4020 | Fax: 303-871-2341 | </t>
    </r>
    <r>
      <rPr>
        <u/>
        <sz val="11"/>
        <color rgb="FF98002E"/>
        <rFont val="Calibri"/>
        <family val="2"/>
        <scheme val="minor"/>
      </rPr>
      <t>finaid@du.edu</t>
    </r>
    <r>
      <rPr>
        <sz val="11"/>
        <color theme="1"/>
        <rFont val="Calibri"/>
        <family val="2"/>
        <scheme val="minor"/>
      </rPr>
      <t xml:space="preserve"> | </t>
    </r>
    <r>
      <rPr>
        <u/>
        <sz val="11"/>
        <color rgb="FF98002E"/>
        <rFont val="Calibri"/>
        <family val="2"/>
        <scheme val="minor"/>
      </rPr>
      <t>www.du.edu/financialaid</t>
    </r>
  </si>
  <si>
    <t>How many credits do you plan to take each quarter?</t>
  </si>
  <si>
    <t>DU Scholarships and Grants</t>
  </si>
  <si>
    <t>Student Fees</t>
  </si>
  <si>
    <r>
      <rPr>
        <vertAlign val="superscript"/>
        <sz val="11"/>
        <color theme="1"/>
        <rFont val="Calibri"/>
        <family val="2"/>
        <scheme val="minor"/>
      </rPr>
      <t>2</t>
    </r>
    <r>
      <rPr>
        <sz val="11"/>
        <color theme="1"/>
        <rFont val="Calibri"/>
        <family val="2"/>
        <scheme val="minor"/>
      </rPr>
      <t>Technology fees are $4 per credit. If you will be enrolled in less than 4 credits, you will not be eligible for federal student loans.</t>
    </r>
  </si>
  <si>
    <r>
      <t>Direct Unsubsidized Loan</t>
    </r>
    <r>
      <rPr>
        <vertAlign val="superscript"/>
        <sz val="11"/>
        <color theme="1"/>
        <rFont val="Calibri"/>
        <family val="2"/>
        <scheme val="minor"/>
      </rPr>
      <t>3</t>
    </r>
  </si>
  <si>
    <r>
      <t>Direct Graduate PLUS Loan</t>
    </r>
    <r>
      <rPr>
        <vertAlign val="superscript"/>
        <sz val="11"/>
        <color theme="1"/>
        <rFont val="Calibri"/>
        <family val="2"/>
        <scheme val="minor"/>
      </rPr>
      <t>4</t>
    </r>
  </si>
  <si>
    <t>Health Insurance</t>
  </si>
  <si>
    <t>Other Annual Assistance</t>
  </si>
  <si>
    <t>Payment(s) Made and/or Employer Reimbursements</t>
  </si>
  <si>
    <t>4 credits</t>
  </si>
  <si>
    <t>5 credits</t>
  </si>
  <si>
    <t>6 credits</t>
  </si>
  <si>
    <t>7 credits</t>
  </si>
  <si>
    <t>8 credits</t>
  </si>
  <si>
    <t>9 credits</t>
  </si>
  <si>
    <t>10 credits</t>
  </si>
  <si>
    <t>11 credits</t>
  </si>
  <si>
    <t>12 credits</t>
  </si>
  <si>
    <t>13 credits</t>
  </si>
  <si>
    <t>14 credits</t>
  </si>
  <si>
    <t>15 credits</t>
  </si>
  <si>
    <t>16 credits</t>
  </si>
  <si>
    <t>17 credits</t>
  </si>
  <si>
    <t>18 credits</t>
  </si>
  <si>
    <t>19 credits</t>
  </si>
  <si>
    <t>20 credits</t>
  </si>
  <si>
    <t>not enrolled</t>
  </si>
  <si>
    <t>How many credits will you take each quarter?</t>
  </si>
  <si>
    <t>21 credits</t>
  </si>
  <si>
    <t>22 credits</t>
  </si>
  <si>
    <t>Will you enroll in DU's Health Insurance Plan?</t>
  </si>
  <si>
    <t>Technology fees are $4 per credit. If you will be enrolled in less than 4 credits, you will not be eligible for federal student loans.</t>
  </si>
  <si>
    <t>Choose Your Program:</t>
  </si>
  <si>
    <r>
      <rPr>
        <b/>
        <sz val="11"/>
        <color rgb="FF000000"/>
        <rFont val="Calibri"/>
        <family val="2"/>
        <scheme val="minor"/>
      </rPr>
      <t>Programs that should use this worksheet:</t>
    </r>
    <r>
      <rPr>
        <sz val="11"/>
        <color rgb="FF000000"/>
        <rFont val="Calibri"/>
        <family val="2"/>
        <scheme val="minor"/>
      </rPr>
      <t xml:space="preserve"> MLIS@Denver and SchoolCounseling@Denver Online Programs</t>
    </r>
  </si>
  <si>
    <t>Counseling Psychology M.A.</t>
  </si>
  <si>
    <t>Curriculum &amp; Instruction M.A.</t>
  </si>
  <si>
    <t>Early Childhood Special Education M.A. or Certificate</t>
  </si>
  <si>
    <t>Educational Leadership &amp; Policy Studies M.A. or Certificate</t>
  </si>
  <si>
    <t>Higher Education M.A.</t>
  </si>
  <si>
    <t>Library Information Science M.A. or Certificate - On-Campus</t>
  </si>
  <si>
    <t>MLIS@Denver Online Program</t>
  </si>
  <si>
    <t>Research Methods &amp; Statistics M.A.</t>
  </si>
  <si>
    <t>SchoolCounseling@Denver Online Program</t>
  </si>
  <si>
    <t>Teacher Education M.A. or Certificate</t>
  </si>
  <si>
    <t>Ph.D. or Ed.D Programs</t>
  </si>
  <si>
    <t>Child, Family &amp; School Psychology M.A. or Ed.S.</t>
  </si>
  <si>
    <r>
      <rPr>
        <b/>
        <sz val="11"/>
        <color rgb="FF000000"/>
        <rFont val="Calibri"/>
        <family val="2"/>
        <scheme val="minor"/>
      </rPr>
      <t>Programs that should use this worksheet:</t>
    </r>
    <r>
      <rPr>
        <sz val="11"/>
        <color rgb="FF000000"/>
        <rFont val="Calibri"/>
        <family val="2"/>
        <scheme val="minor"/>
      </rPr>
      <t xml:space="preserve"> M.A. or Ed.S. in Child, Family &amp; School Psychology; M.A. in Counseling Psychology; M.A. in Curriculum &amp; Instruction; M.A. in Higher Education; M.A. in Research Methods &amp; Statistics</t>
    </r>
  </si>
  <si>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</si>
  <si>
    <r>
      <rPr>
        <vertAlign val="superscript"/>
        <sz val="11"/>
        <color theme="1"/>
        <rFont val="Calibri"/>
        <family val="2"/>
        <scheme val="minor"/>
      </rPr>
      <t>4</t>
    </r>
    <r>
      <rPr>
        <sz val="11"/>
        <color theme="1"/>
        <rFont val="Calibri"/>
        <family val="2"/>
        <scheme val="minor"/>
      </rPr>
      <t>The Direct Graduate PLUS loan is a supplemental, credit-based loan that you must apply for separately through StudentAid.gov. This loan 
  will not appear on your initial financial aid offer and is not guaranteed financing, since you must be approved by the Department of 
  Education before you can borrow it. This worksheet automatically deducts the 4.228% origination fee from the total amount.</t>
    </r>
  </si>
  <si>
    <t>Tuition for the 2023-2024 academic year is $1,348 per credit.</t>
  </si>
  <si>
    <t>Tuition for the 2023-2024 academic year is $1,612 per credit.</t>
  </si>
  <si>
    <t>Tuition for the 2023-2024 academic year is $806 per credit.</t>
  </si>
  <si>
    <t>Tuition for the 2023-2024 academic year is $1,127 per credit.</t>
  </si>
  <si>
    <t>Tuition for the 2023-2024 academic year is $1,034 per credit.</t>
  </si>
  <si>
    <t>Tuition for the 2023-2024 academic year is $1,612 per credit. If enrolled in 12-18 credits, tuition will be charged a flat rate of $19,344.</t>
  </si>
  <si>
    <t>select</t>
  </si>
  <si>
    <t>Fees</t>
  </si>
  <si>
    <r>
      <t>DU Health &amp; Counseling Fee</t>
    </r>
    <r>
      <rPr>
        <u/>
        <vertAlign val="superscript"/>
        <sz val="11"/>
        <color theme="10"/>
        <rFont val="Calibri"/>
        <family val="2"/>
        <scheme val="minor"/>
      </rPr>
      <t>3</t>
    </r>
  </si>
  <si>
    <t>This worksheet automatically deducts the 1.057% origination fee from the Direct Unsubsidized loan amount. Most students who submit the FAFSA are eligible to borrow up to $20,500 in an unsubsidized loan per academic year.</t>
  </si>
  <si>
    <r>
      <t>Direct Unsubsidized Loan</t>
    </r>
    <r>
      <rPr>
        <vertAlign val="superscript"/>
        <sz val="11"/>
        <color theme="1"/>
        <rFont val="Calibri"/>
        <family val="2"/>
        <scheme val="minor"/>
      </rPr>
      <t>4</t>
    </r>
  </si>
  <si>
    <r>
      <t>Direct Graduate PLUS Loan</t>
    </r>
    <r>
      <rPr>
        <vertAlign val="superscript"/>
        <sz val="11"/>
        <color theme="1"/>
        <rFont val="Calibri"/>
        <family val="2"/>
        <scheme val="minor"/>
      </rPr>
      <t>5</t>
    </r>
  </si>
  <si>
    <r>
      <rPr>
        <b/>
        <sz val="11"/>
        <color rgb="FF000000"/>
        <rFont val="Calibri"/>
        <family val="2"/>
        <scheme val="minor"/>
      </rPr>
      <t>Programs that should use this worksheet:</t>
    </r>
    <r>
      <rPr>
        <sz val="11"/>
        <color rgb="FF000000"/>
        <rFont val="Calibri"/>
        <family val="2"/>
        <scheme val="minor"/>
      </rPr>
      <t xml:space="preserve"> All Ph.D. and Ed.D. programs</t>
    </r>
  </si>
  <si>
    <r>
      <rPr>
        <b/>
        <sz val="11"/>
        <color rgb="FF000000"/>
        <rFont val="Calibri"/>
        <family val="2"/>
        <scheme val="minor"/>
      </rPr>
      <t>Programs that should use this worksheet:</t>
    </r>
    <r>
      <rPr>
        <sz val="11"/>
        <color rgb="FF000000"/>
        <rFont val="Calibri"/>
        <family val="2"/>
        <scheme val="minor"/>
      </rPr>
      <t xml:space="preserve"> M.A. or Certificate in Early Childhood Special Education; M.A. or Certificate in Educational Leadership &amp; Policy Studies; M.A. or Certificate in Teacher Education </t>
    </r>
    <r>
      <rPr>
        <i/>
        <sz val="11"/>
        <color rgb="FF000000"/>
        <rFont val="Calibri"/>
        <family val="2"/>
        <scheme val="minor"/>
      </rPr>
      <t>(if you're in an online program, please use the "Online Programs" tab)</t>
    </r>
  </si>
  <si>
    <r>
      <rPr>
        <b/>
        <sz val="11"/>
        <color rgb="FF000000"/>
        <rFont val="Calibri"/>
        <family val="2"/>
        <scheme val="minor"/>
      </rPr>
      <t>Programs that should use this worksheet:</t>
    </r>
    <r>
      <rPr>
        <sz val="11"/>
        <color rgb="FF000000"/>
        <rFont val="Calibri"/>
        <family val="2"/>
        <scheme val="minor"/>
      </rPr>
      <t xml:space="preserve"> On-campus M.A. or Certificate in Library Information Science</t>
    </r>
  </si>
  <si>
    <r>
      <rPr>
        <vertAlign val="superscript"/>
        <sz val="11"/>
        <color theme="1"/>
        <rFont val="Calibri"/>
        <family val="2"/>
        <scheme val="minor"/>
      </rPr>
      <t>3</t>
    </r>
    <r>
      <rPr>
        <sz val="11"/>
        <color theme="1"/>
        <rFont val="Calibri"/>
        <family val="2"/>
        <scheme val="minor"/>
      </rPr>
      <t>This worksheet automatically deducts the 1.057% origination fee from the Direct Unsubsidized loan amount. Most students who submit the FAFSA are
  eligible to borrow up to $20,500 in an unsubsidized loan per academic year.</t>
    </r>
  </si>
  <si>
    <r>
      <t xml:space="preserve">2025-26 Estimated Billing Worksheets
</t>
    </r>
    <r>
      <rPr>
        <b/>
        <i/>
        <sz val="16"/>
        <color theme="1"/>
        <rFont val="Calibri"/>
        <family val="2"/>
        <scheme val="minor"/>
      </rPr>
      <t>Morgridge College of Education</t>
    </r>
  </si>
  <si>
    <r>
      <t>These worksheets are designed to help you estimate your invoices throughout the academic year.</t>
    </r>
    <r>
      <rPr>
        <b/>
        <sz val="11"/>
        <color rgb="FF000000"/>
        <rFont val="Calibri"/>
        <family val="2"/>
        <scheme val="minor"/>
      </rPr>
      <t xml:space="preserve"> In order to complete a worksheet, you'll need a copy of your most recent 2025-2026 financial aid offer.</t>
    </r>
    <r>
      <rPr>
        <sz val="11"/>
        <color rgb="FF000000"/>
        <rFont val="Calibri"/>
        <family val="2"/>
        <scheme val="minor"/>
      </rPr>
      <t xml:space="preserve"> Fill in the sections highlighted in blue. You will likely not have all the types of aid listed in the "credits" section. Please remember that these worksheets are only a planning tool. Additional, unanticipated charges or credits may be included on your actual bill. </t>
    </r>
  </si>
  <si>
    <t>2025-26 Estimated Billing Worksheet
Morgridge College of Education</t>
  </si>
  <si>
    <t>FALL 2025:</t>
  </si>
  <si>
    <t>WINTER 2026:</t>
  </si>
  <si>
    <t>SPRING 2026:</t>
  </si>
  <si>
    <t>FALL 2025</t>
  </si>
  <si>
    <t>WINTER 2026</t>
  </si>
  <si>
    <t>SPRING 2026</t>
  </si>
  <si>
    <t>$1,437/cr</t>
  </si>
  <si>
    <t>Tuition for the 2025-26 academic year is $1,437 per credit.</t>
  </si>
  <si>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2024 or later and are enrolled
in 8 or more credits. Students who started prior to fall 2024 can waive this fee (just delete the amount in these fields if you plan to waive it).</t>
    </r>
  </si>
  <si>
    <t>$1,718/cr</t>
  </si>
  <si>
    <t>Tuition for the 2025-26 academic year is $1,718 per credit.</t>
  </si>
  <si>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started their program in fall of 2024 or later and are enrolled
in 8 or more credits. Students who started prior to fall 2024 can waive this fee (just delete the amount in these fields if you plan to waive it).</t>
    </r>
  </si>
  <si>
    <t>Tuition for the 2025-26 academic year is $859 per credit.</t>
  </si>
  <si>
    <t>$859/cr</t>
  </si>
  <si>
    <t>Tuition for the 2025-26 academic year is $1,201 per credit.</t>
  </si>
  <si>
    <r>
      <t xml:space="preserve">The Health and Counseling Fee is $250 per quarter, and is </t>
    </r>
    <r>
      <rPr>
        <i/>
        <sz val="11"/>
        <color theme="1"/>
        <rFont val="Calibri"/>
        <family val="2"/>
        <scheme val="minor"/>
      </rPr>
      <t>mandatory</t>
    </r>
    <r>
      <rPr>
        <sz val="11"/>
        <color theme="1"/>
        <rFont val="Calibri"/>
        <family val="2"/>
        <scheme val="minor"/>
      </rPr>
      <t xml:space="preserve"> for students who start their program in fall 2024 or later and are enrolled
in 8 or more credits. Students who started prior to fall 2024 can waive this fee (just delete the amount in these fields if you plan to waive it).</t>
    </r>
  </si>
  <si>
    <t>$1,201/cr</t>
  </si>
  <si>
    <t>2025-26 Estimated Billing Worksheet
Morgridge College of Education Online Programs</t>
  </si>
  <si>
    <t>SUMMER 2026:</t>
  </si>
  <si>
    <t>SUMMER 2026</t>
  </si>
  <si>
    <r>
      <t>1</t>
    </r>
    <r>
      <rPr>
        <sz val="11"/>
        <color theme="1"/>
        <rFont val="Calibri"/>
        <family val="2"/>
        <scheme val="minor"/>
      </rPr>
      <t>Tuition for the 2025-2026 academic year is $1,102 per credit.</t>
    </r>
  </si>
  <si>
    <t>$1,102/cr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</si>
</sst>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0"/>
      <color rgb="FF000000"/>
      <name val="Calibri"/>
      <family val="2"/>
      <scheme val="minor"/>
    </font>
    <font>
      <vertAlign val="superscript"/>
      <sz val="11"/>
      <color theme="1"/>
      <name val="Calibri"/>
      <family val="2"/>
      <scheme val="minor"/>
    </font>
    <font>
      <b/>
      <i/>
      <sz val="14"/>
      <color rgb="FF98002E"/>
      <name val="Calibri"/>
      <family val="2"/>
      <scheme val="minor"/>
    </font>
    <font>
      <b/>
      <sz val="14"/>
      <color theme="1"/>
      <name val="Calibri"/>
      <family val="2"/>
      <scheme val="minor"/>
    </font>
    <font>
      <u/>
      <sz val="11"/>
      <color rgb="FF98002E"/>
      <name val="Calibri"/>
      <family val="2"/>
      <scheme val="minor"/>
    </font>
    <font>
      <b/>
      <i/>
      <sz val="16"/>
      <color theme="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b/>
      <i/>
      <u/>
      <sz val="14"/>
      <color theme="1"/>
      <name val="Calibri"/>
      <family val="2"/>
      <scheme val="minor"/>
    </font>
    <font>
      <i/>
      <sz val="11"/>
      <color rgb="FF000000"/>
      <name val="Calibri"/>
      <family val="2"/>
      <scheme val="minor"/>
    </font>
    <font>
      <u/>
      <vertAlign val="superscript"/>
      <sz val="11"/>
      <color theme="10"/>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59996337778862885"/>
        <bgColor indexed="64"/>
      </patternFill>
    </fill>
  </fills>
  <borders count="12">
    <border>
      <left/>
      <right/>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bottom style="dashed">
        <color indexed="64"/>
      </bottom>
      <diagonal/>
    </border>
    <border>
      <left/>
      <right/>
      <top style="double">
        <color auto="1"/>
      </top>
      <bottom style="double">
        <color auto="1"/>
      </bottom>
      <diagonal/>
    </border>
    <border>
      <left/>
      <right style="dashed">
        <color indexed="64"/>
      </right>
      <top/>
      <bottom/>
      <diagonal/>
    </border>
    <border>
      <left style="dotted">
        <color indexed="64"/>
      </left>
      <right style="dotted">
        <color indexed="64"/>
      </right>
      <top style="dotted">
        <color indexed="64"/>
      </top>
      <bottom style="thin">
        <color indexed="64"/>
      </bottom>
      <diagonal/>
    </border>
    <border>
      <left/>
      <right/>
      <top/>
      <bottom style="dashed">
        <color indexed="64"/>
      </bottom>
      <diagonal/>
    </border>
    <border>
      <left/>
      <right/>
      <top style="dashed">
        <color indexed="64"/>
      </top>
      <bottom style="thin">
        <color indexed="64"/>
      </bottom>
      <diagonal/>
    </border>
  </borders>
  <cellStyleXfs count="3">
    <xf numFmtId="0" fontId="0" fillId="0" borderId="0"/>
    <xf numFmtId="44" fontId="1" fillId="0" borderId="0" applyFont="0" applyFill="0" applyBorder="0" applyAlignment="0" applyProtection="0"/>
    <xf numFmtId="0" fontId="13" fillId="0" borderId="0" applyNumberFormat="0" applyFill="0" applyBorder="0" applyAlignment="0" applyProtection="0"/>
  </cellStyleXfs>
  <cellXfs count="75">
    <xf numFmtId="0" fontId="0" fillId="0" borderId="0" xfId="0"/>
    <xf numFmtId="0" fontId="2" fillId="0" borderId="2" xfId="0" applyFont="1" applyBorder="1"/>
    <xf numFmtId="0" fontId="0" fillId="0" borderId="2" xfId="0" applyBorder="1"/>
    <xf numFmtId="0" fontId="0" fillId="0" borderId="2" xfId="0" applyBorder="1" applyAlignment="1">
      <alignment horizontal="center"/>
    </xf>
    <xf numFmtId="44" fontId="2" fillId="0" borderId="2" xfId="1" applyFont="1" applyBorder="1" applyAlignment="1">
      <alignment horizontal="center"/>
    </xf>
    <xf numFmtId="44" fontId="0" fillId="0" borderId="0" xfId="1" applyFont="1"/>
    <xf numFmtId="0" fontId="6" fillId="0" borderId="0" xfId="0" applyFont="1" applyAlignment="1">
      <alignment horizontal="left"/>
    </xf>
    <xf numFmtId="0" fontId="2" fillId="0" borderId="0" xfId="0" applyFont="1"/>
    <xf numFmtId="44" fontId="2" fillId="0" borderId="0" xfId="1" applyFont="1"/>
    <xf numFmtId="0" fontId="0" fillId="3" borderId="0" xfId="0" applyFill="1" applyAlignment="1">
      <alignment horizontal="left"/>
    </xf>
    <xf numFmtId="0" fontId="0" fillId="3" borderId="0" xfId="0" applyFill="1"/>
    <xf numFmtId="44" fontId="0" fillId="3" borderId="0" xfId="1" applyFont="1" applyFill="1"/>
    <xf numFmtId="0" fontId="0" fillId="3" borderId="0" xfId="0" applyFill="1" applyAlignment="1">
      <alignment horizontal="left" indent="2"/>
    </xf>
    <xf numFmtId="0" fontId="0" fillId="0" borderId="7" xfId="0" applyBorder="1"/>
    <xf numFmtId="0" fontId="7" fillId="0" borderId="7" xfId="0" applyFont="1" applyBorder="1"/>
    <xf numFmtId="44" fontId="0" fillId="2" borderId="6" xfId="1" applyFont="1" applyFill="1" applyBorder="1" applyProtection="1">
      <protection locked="0"/>
    </xf>
    <xf numFmtId="44" fontId="0" fillId="2" borderId="4" xfId="1" applyFont="1" applyFill="1" applyBorder="1" applyProtection="1">
      <protection locked="0"/>
    </xf>
    <xf numFmtId="44" fontId="0" fillId="2" borderId="4" xfId="0" applyNumberFormat="1" applyFill="1" applyBorder="1" applyProtection="1">
      <protection locked="0"/>
    </xf>
    <xf numFmtId="44" fontId="0" fillId="2" borderId="5" xfId="1" applyFont="1" applyFill="1" applyBorder="1" applyProtection="1">
      <protection locked="0"/>
    </xf>
    <xf numFmtId="0" fontId="0" fillId="0" borderId="1" xfId="0" applyBorder="1"/>
    <xf numFmtId="0" fontId="3" fillId="0" borderId="1" xfId="0" applyFont="1" applyBorder="1" applyAlignment="1">
      <alignment horizontal="right" vertical="top" wrapText="1"/>
    </xf>
    <xf numFmtId="0" fontId="3" fillId="0" borderId="1" xfId="0" applyFont="1" applyBorder="1" applyAlignment="1">
      <alignment horizontal="right" vertical="top"/>
    </xf>
    <xf numFmtId="0" fontId="4" fillId="0" borderId="0" xfId="0" applyFont="1" applyAlignment="1" applyProtection="1">
      <alignment horizontal="center" wrapText="1"/>
      <protection locked="0"/>
    </xf>
    <xf numFmtId="44" fontId="10" fillId="0" borderId="7" xfId="1" applyFont="1" applyBorder="1"/>
    <xf numFmtId="0" fontId="10" fillId="0" borderId="7" xfId="0" applyFont="1" applyBorder="1"/>
    <xf numFmtId="0" fontId="0" fillId="3" borderId="3" xfId="0" applyFill="1" applyBorder="1"/>
    <xf numFmtId="44" fontId="0" fillId="3" borderId="3" xfId="1" applyFont="1" applyFill="1" applyBorder="1"/>
    <xf numFmtId="0" fontId="4" fillId="0" borderId="0" xfId="0" applyFont="1" applyAlignment="1">
      <alignment horizontal="left" wrapText="1" indent="1"/>
    </xf>
    <xf numFmtId="44" fontId="0" fillId="3" borderId="0" xfId="1" applyFont="1" applyFill="1" applyBorder="1"/>
    <xf numFmtId="0" fontId="0" fillId="2" borderId="4" xfId="0" applyFill="1" applyBorder="1" applyProtection="1">
      <protection locked="0"/>
    </xf>
    <xf numFmtId="0" fontId="0" fillId="0" borderId="3" xfId="0" applyBorder="1"/>
    <xf numFmtId="44" fontId="0" fillId="0" borderId="3" xfId="1" applyFont="1" applyFill="1" applyBorder="1"/>
    <xf numFmtId="44" fontId="0" fillId="3" borderId="3" xfId="1" applyFont="1" applyFill="1" applyBorder="1" applyProtection="1">
      <protection locked="0"/>
    </xf>
    <xf numFmtId="44" fontId="0" fillId="0" borderId="0" xfId="1" applyFont="1" applyBorder="1"/>
    <xf numFmtId="0" fontId="0" fillId="0" borderId="0" xfId="0" applyAlignment="1">
      <alignment horizontal="left"/>
    </xf>
    <xf numFmtId="44" fontId="0" fillId="0" borderId="0" xfId="1" applyFont="1" applyFill="1" applyBorder="1"/>
    <xf numFmtId="0" fontId="0" fillId="0" borderId="0" xfId="0" applyAlignment="1">
      <alignment horizontal="left" indent="2"/>
    </xf>
    <xf numFmtId="0" fontId="2" fillId="0" borderId="1" xfId="0" applyFont="1" applyBorder="1"/>
    <xf numFmtId="44" fontId="2" fillId="0" borderId="1" xfId="1" applyFont="1" applyBorder="1"/>
    <xf numFmtId="0" fontId="14" fillId="0" borderId="0" xfId="0" applyFont="1" applyAlignment="1">
      <alignment horizontal="left" vertical="top" indent="3"/>
    </xf>
    <xf numFmtId="0" fontId="13" fillId="0" borderId="0" xfId="2" applyAlignment="1" applyProtection="1">
      <alignment horizontal="left" indent="5"/>
      <protection locked="0"/>
    </xf>
    <xf numFmtId="0" fontId="0" fillId="0" borderId="0" xfId="0" applyProtection="1">
      <protection locked="0"/>
    </xf>
    <xf numFmtId="0" fontId="4" fillId="2" borderId="4" xfId="0" applyFont="1" applyFill="1" applyBorder="1" applyAlignment="1" applyProtection="1">
      <alignment wrapText="1"/>
      <protection locked="0"/>
    </xf>
    <xf numFmtId="44" fontId="2" fillId="0" borderId="0" xfId="1" applyFont="1" applyAlignment="1">
      <alignment horizontal="center"/>
    </xf>
    <xf numFmtId="0" fontId="11" fillId="0" borderId="0" xfId="0" applyFont="1" applyAlignment="1">
      <alignment horizontal="left" vertical="center" wrapText="1" indent="1"/>
    </xf>
    <xf numFmtId="0" fontId="5" fillId="0" borderId="0" xfId="0" applyFont="1" applyAlignment="1">
      <alignment horizontal="right" vertical="top"/>
    </xf>
    <xf numFmtId="0" fontId="5" fillId="0" borderId="0" xfId="0" applyFont="1" applyAlignment="1">
      <alignment horizontal="right"/>
    </xf>
    <xf numFmtId="0" fontId="0" fillId="0" borderId="0" xfId="0" applyAlignment="1">
      <alignment wrapText="1"/>
    </xf>
    <xf numFmtId="0" fontId="5" fillId="0" borderId="0" xfId="0" applyFont="1"/>
    <xf numFmtId="44" fontId="0" fillId="2" borderId="9" xfId="1" applyFont="1" applyFill="1" applyBorder="1" applyProtection="1">
      <protection locked="0"/>
    </xf>
    <xf numFmtId="0" fontId="11" fillId="2" borderId="6" xfId="0" applyFont="1" applyFill="1" applyBorder="1" applyAlignment="1" applyProtection="1">
      <alignment horizontal="center" vertical="center"/>
      <protection locked="0"/>
    </xf>
    <xf numFmtId="44" fontId="0" fillId="2" borderId="6" xfId="1" applyFont="1"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44" fontId="2" fillId="0" borderId="10" xfId="1" applyFont="1" applyBorder="1" applyAlignment="1">
      <alignment horizontal="center"/>
    </xf>
    <xf numFmtId="3" fontId="2" fillId="0" borderId="0" xfId="0" applyNumberFormat="1" applyFont="1" applyAlignment="1">
      <alignment horizontal="left"/>
    </xf>
    <xf numFmtId="0" fontId="2" fillId="0" borderId="0" xfId="0" applyFont="1" applyAlignment="1">
      <alignment horizontal="left"/>
    </xf>
    <xf numFmtId="44" fontId="0" fillId="3" borderId="3" xfId="1" applyFont="1" applyFill="1" applyBorder="1" applyProtection="1"/>
    <xf numFmtId="6" fontId="2" fillId="0" borderId="0" xfId="0" applyNumberFormat="1" applyFont="1"/>
    <xf numFmtId="44" fontId="0" fillId="4" borderId="9" xfId="1" applyFont="1" applyFill="1" applyBorder="1" applyProtection="1">
      <protection locked="0"/>
    </xf>
    <xf numFmtId="0" fontId="0" fillId="0" borderId="11" xfId="0" applyBorder="1"/>
    <xf numFmtId="0" fontId="0" fillId="0" borderId="1" xfId="0" applyBorder="1" applyAlignment="1">
      <alignment horizontal="center"/>
    </xf>
    <xf numFmtId="0" fontId="3" fillId="0" borderId="3" xfId="0" applyFont="1" applyBorder="1" applyAlignment="1">
      <alignment horizontal="right" wrapText="1"/>
    </xf>
    <xf numFmtId="0" fontId="3" fillId="0" borderId="3" xfId="0" applyFont="1" applyBorder="1" applyAlignment="1">
      <alignment horizontal="right"/>
    </xf>
    <xf numFmtId="0" fontId="11" fillId="0" borderId="0" xfId="0" applyFont="1" applyAlignment="1">
      <alignment horizontal="left" vertical="center" wrapText="1"/>
    </xf>
    <xf numFmtId="0" fontId="3" fillId="0" borderId="0" xfId="0" applyFont="1" applyAlignment="1">
      <alignment horizontal="right" vertical="top" wrapText="1"/>
    </xf>
    <xf numFmtId="0" fontId="3" fillId="0" borderId="0" xfId="0" applyFont="1" applyAlignment="1">
      <alignment horizontal="right" vertical="top"/>
    </xf>
    <xf numFmtId="0" fontId="0" fillId="3" borderId="0" xfId="0" applyFill="1" applyAlignment="1">
      <alignment horizontal="center"/>
    </xf>
    <xf numFmtId="0" fontId="13" fillId="3" borderId="0" xfId="2" applyFill="1" applyBorder="1" applyAlignment="1">
      <alignment horizontal="left"/>
    </xf>
    <xf numFmtId="0" fontId="13" fillId="3" borderId="8" xfId="2" applyFill="1" applyBorder="1" applyAlignment="1">
      <alignment horizontal="left"/>
    </xf>
    <xf numFmtId="0" fontId="13" fillId="0" borderId="3" xfId="2" applyFill="1" applyBorder="1" applyAlignment="1">
      <alignment horizontal="left"/>
    </xf>
    <xf numFmtId="0" fontId="0" fillId="0" borderId="0" xfId="0" applyAlignment="1">
      <alignment horizontal="left"/>
    </xf>
    <xf numFmtId="0" fontId="0" fillId="3" borderId="3" xfId="0" applyFill="1" applyBorder="1" applyAlignment="1">
      <alignment horizontal="left"/>
    </xf>
    <xf numFmtId="0" fontId="0" fillId="0" borderId="0" xfId="0" applyAlignment="1">
      <alignment horizontal="left" wrapText="1"/>
    </xf>
    <xf numFmtId="0" fontId="11" fillId="0" borderId="0" xfId="0" applyFont="1" applyAlignment="1">
      <alignment horizontal="left" wrapText="1"/>
    </xf>
    <xf numFmtId="0" fontId="5"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980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104760</xdr:rowOff>
    </xdr:from>
    <xdr:to>
      <xdr:col>1</xdr:col>
      <xdr:colOff>1891362</xdr:colOff>
      <xdr:row>1</xdr:row>
      <xdr:rowOff>542925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891362" cy="4381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1C35666F-3BDE-49E3-84F5-6AB54A53E0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38993D05-7E77-4D37-8BC9-9681D187B4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104760</xdr:rowOff>
    </xdr:from>
    <xdr:ext cx="1932477" cy="447690"/>
    <xdr:pic>
      <xdr:nvPicPr>
        <xdr:cNvPr id="2" name="Picture 1">
          <a:extLst>
            <a:ext uri="{FF2B5EF4-FFF2-40B4-BE49-F238E27FC236}">
              <a16:creationId xmlns:a16="http://schemas.microsoft.com/office/drawing/2014/main" id="{1E68D8B3-5C9E-4309-9214-A92B508AE2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5" y="323835"/>
          <a:ext cx="1932477" cy="44769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276224</xdr:colOff>
      <xdr:row>1</xdr:row>
      <xdr:rowOff>108070</xdr:rowOff>
    </xdr:from>
    <xdr:to>
      <xdr:col>3</xdr:col>
      <xdr:colOff>737090</xdr:colOff>
      <xdr:row>1</xdr:row>
      <xdr:rowOff>552450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224" y="327145"/>
          <a:ext cx="1918191" cy="444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du.edu/health-and-counseling-center/coveragecosts/fees.html" TargetMode="External"/><Relationship Id="rId1" Type="http://schemas.openxmlformats.org/officeDocument/2006/relationships/hyperlink" Target="https://www.du.edu/health-and-counseling-center/coveragecosts/ship.html"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2"/>
  <sheetViews>
    <sheetView showGridLines="0" showRowColHeaders="0" tabSelected="1" showRuler="0" zoomScaleNormal="100" workbookViewId="0">
      <selection activeCell="B7" sqref="B7"/>
    </sheetView>
  </sheetViews>
  <sheetFormatPr defaultColWidth="8.85546875" defaultRowHeight="15" x14ac:dyDescent="0.25"/>
  <cols>
    <col min="1" max="1" width="4.140625" customWidth="1"/>
    <col min="2" max="2" width="74.85546875" customWidth="1"/>
    <col min="3" max="3" width="12.85546875" style="5" customWidth="1"/>
    <col min="4" max="4" width="26.42578125" customWidth="1"/>
  </cols>
  <sheetData>
    <row r="1" spans="1:4" ht="17.25" customHeight="1" x14ac:dyDescent="0.25">
      <c r="A1" s="41"/>
    </row>
    <row r="2" spans="1:4" ht="47.25" customHeight="1" x14ac:dyDescent="0.35">
      <c r="B2" s="61" t="s">
        <v>80</v>
      </c>
      <c r="C2" s="62"/>
      <c r="D2" s="62"/>
    </row>
    <row r="3" spans="1:4" ht="8.25" customHeight="1" x14ac:dyDescent="0.25">
      <c r="B3" s="19"/>
      <c r="C3" s="21"/>
      <c r="D3" s="21"/>
    </row>
    <row r="4" spans="1:4" ht="66.75" customHeight="1" x14ac:dyDescent="0.25">
      <c r="B4" s="63" t="s">
        <v>81</v>
      </c>
      <c r="C4" s="63"/>
      <c r="D4" s="63"/>
    </row>
    <row r="5" spans="1:4" ht="21.75" customHeight="1" x14ac:dyDescent="0.25">
      <c r="C5"/>
    </row>
    <row r="6" spans="1:4" ht="27" customHeight="1" x14ac:dyDescent="0.25">
      <c r="B6" s="39" t="s">
        <v>47</v>
      </c>
      <c r="C6"/>
    </row>
    <row r="7" spans="1:4" x14ac:dyDescent="0.25">
      <c r="B7" s="40" t="s">
        <v>60</v>
      </c>
    </row>
    <row r="8" spans="1:4" x14ac:dyDescent="0.25">
      <c r="B8" s="40" t="s">
        <v>49</v>
      </c>
    </row>
    <row r="9" spans="1:4" x14ac:dyDescent="0.25">
      <c r="B9" s="40" t="s">
        <v>50</v>
      </c>
    </row>
    <row r="10" spans="1:4" x14ac:dyDescent="0.25">
      <c r="B10" s="40" t="s">
        <v>51</v>
      </c>
    </row>
    <row r="11" spans="1:4" x14ac:dyDescent="0.25">
      <c r="B11" s="40" t="s">
        <v>52</v>
      </c>
    </row>
    <row r="12" spans="1:4" x14ac:dyDescent="0.25">
      <c r="B12" s="40" t="s">
        <v>53</v>
      </c>
    </row>
    <row r="13" spans="1:4" x14ac:dyDescent="0.25">
      <c r="B13" s="40" t="s">
        <v>54</v>
      </c>
    </row>
    <row r="14" spans="1:4" x14ac:dyDescent="0.25">
      <c r="B14" s="40" t="s">
        <v>55</v>
      </c>
    </row>
    <row r="15" spans="1:4" x14ac:dyDescent="0.25">
      <c r="B15" s="40" t="s">
        <v>56</v>
      </c>
    </row>
    <row r="16" spans="1:4" x14ac:dyDescent="0.25">
      <c r="B16" s="40" t="s">
        <v>57</v>
      </c>
    </row>
    <row r="17" spans="2:4" x14ac:dyDescent="0.25">
      <c r="B17" s="40" t="s">
        <v>58</v>
      </c>
    </row>
    <row r="18" spans="2:4" s="40" customFormat="1" x14ac:dyDescent="0.25">
      <c r="B18" s="40" t="s">
        <v>59</v>
      </c>
    </row>
    <row r="22" spans="2:4" x14ac:dyDescent="0.25">
      <c r="B22" s="60" t="s">
        <v>14</v>
      </c>
      <c r="C22" s="60"/>
      <c r="D22" s="60"/>
    </row>
  </sheetData>
  <sheetProtection algorithmName="SHA-512" hashValue="Ih+yg08u7iE/ya+JBQO3W7vwwMOaJIt6N8ivCI1WUFJljXAajrHvKT3YbzKqz3nV6Qr/s9ePDOZWrVs9eKp3cw==" saltValue="3xV1Ymsi/6yE9RrU2OfPsg==" spinCount="100000" sheet="1" selectLockedCells="1"/>
  <mergeCells count="3">
    <mergeCell ref="B22:D22"/>
    <mergeCell ref="B2:D2"/>
    <mergeCell ref="B4:D4"/>
  </mergeCells>
  <hyperlinks>
    <hyperlink ref="B8" location="'CFSP, CP, CI, HE, RMS'!A1" display="Counseling Psychology M.A." xr:uid="{00000000-0004-0000-0000-000000000000}"/>
    <hyperlink ref="B9" location="'CFSP, CP, CI, HE, RMS'!A1" display="Curriculum &amp; Instruction M.A." xr:uid="{00000000-0004-0000-0000-000001000000}"/>
    <hyperlink ref="B10" location="'ECSE, ELPS, TE'!A1" display="Early Childhood Special Education M.A. or Certificate" xr:uid="{00000000-0004-0000-0000-000002000000}"/>
    <hyperlink ref="B11" location="'ECSE, ELPS, TE'!A1" display="Educational Leadership &amp; Policy Studies M.A. or Certificate" xr:uid="{00000000-0004-0000-0000-000003000000}"/>
    <hyperlink ref="B12" location="'CFSP, CP, CI, HE, RMS'!A1" display="Higher Education M.A." xr:uid="{00000000-0004-0000-0000-000004000000}"/>
    <hyperlink ref="B7" location="'CFSP, CP, CI, HE, RMS'!A1" display="Child, Family &amp; School Psychology M.A. or Ed.S." xr:uid="{00000000-0004-0000-0000-000005000000}"/>
    <hyperlink ref="B14" location="'Online Programs'!A1" display="MLIS@Denver Online Program" xr:uid="{00000000-0004-0000-0000-000006000000}"/>
    <hyperlink ref="B16" location="'Online Programs'!A1" display="SchoolCounseling@Denver Online Program" xr:uid="{00000000-0004-0000-0000-000007000000}"/>
    <hyperlink ref="B13" location="'On-Campus MLIS'!A1" display="Library Information Science M.A. or Certificate - On-Campus" xr:uid="{00000000-0004-0000-0000-000008000000}"/>
    <hyperlink ref="B15" location="'CFSP, CP, CI, HE, RMS'!A1" display="Research Methods &amp; Statistics M.A." xr:uid="{00000000-0004-0000-0000-000009000000}"/>
    <hyperlink ref="B17" location="'ECSE, ELPS, TE'!A1" display="Teacher Education M.A. or Certificate" xr:uid="{00000000-0004-0000-0000-00000A000000}"/>
    <hyperlink ref="B18" location="'Ph.D., Ed.D.'!A1" display="Ph.D. or Ed.D Programs" xr:uid="{00000000-0004-0000-0000-00000B000000}"/>
  </hyperlinks>
  <pageMargins left="0.5" right="0.5" top="0.5" bottom="0.5" header="0.3" footer="0.3"/>
  <pageSetup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4" t="s">
        <v>82</v>
      </c>
      <c r="I2" s="65"/>
      <c r="J2" s="65"/>
      <c r="K2" s="65"/>
      <c r="L2" s="65"/>
      <c r="M2" s="65"/>
      <c r="N2" s="65"/>
      <c r="O2" s="65"/>
    </row>
    <row r="3" spans="2:15" ht="8.25" customHeight="1" x14ac:dyDescent="0.25">
      <c r="B3" s="19"/>
      <c r="C3" s="19"/>
      <c r="D3" s="19"/>
      <c r="E3" s="19"/>
      <c r="F3" s="19"/>
      <c r="G3" s="19"/>
      <c r="H3" s="20"/>
      <c r="I3" s="21"/>
      <c r="J3" s="21"/>
      <c r="K3" s="21"/>
      <c r="L3" s="21"/>
      <c r="M3" s="21"/>
      <c r="N3" s="21"/>
      <c r="O3" s="21"/>
    </row>
    <row r="4" spans="2:15" ht="36" customHeight="1" x14ac:dyDescent="0.25">
      <c r="B4" s="44"/>
      <c r="C4" s="73" t="s">
        <v>61</v>
      </c>
      <c r="D4" s="73"/>
      <c r="E4" s="73"/>
      <c r="F4" s="73"/>
      <c r="G4" s="73"/>
      <c r="H4" s="73"/>
      <c r="I4" s="73"/>
      <c r="J4" s="73"/>
      <c r="K4" s="73"/>
      <c r="L4" s="73"/>
      <c r="M4" s="73"/>
      <c r="N4" s="73"/>
      <c r="O4" s="73"/>
    </row>
    <row r="5" spans="2:15" ht="19.5" customHeight="1" x14ac:dyDescent="0.25">
      <c r="J5" s="43" t="s">
        <v>83</v>
      </c>
      <c r="L5" s="43" t="s">
        <v>84</v>
      </c>
      <c r="N5" s="43" t="s">
        <v>85</v>
      </c>
    </row>
    <row r="6" spans="2:15" ht="18" customHeight="1" x14ac:dyDescent="0.3">
      <c r="D6" s="6" t="s">
        <v>15</v>
      </c>
      <c r="E6" s="27"/>
      <c r="F6" s="27"/>
      <c r="G6" s="27"/>
      <c r="H6" s="27"/>
      <c r="I6" s="27"/>
      <c r="J6" s="42" t="s">
        <v>70</v>
      </c>
      <c r="L6" s="42" t="s">
        <v>70</v>
      </c>
      <c r="M6" s="22"/>
      <c r="N6" s="42" t="s">
        <v>70</v>
      </c>
      <c r="O6" s="27"/>
    </row>
    <row r="7" spans="2:15" ht="6" customHeight="1" x14ac:dyDescent="0.25"/>
    <row r="8" spans="2:15" ht="15.75" thickBot="1" x14ac:dyDescent="0.3">
      <c r="B8" s="1" t="s">
        <v>7</v>
      </c>
      <c r="C8" s="1"/>
      <c r="D8" s="2"/>
      <c r="E8" s="2"/>
      <c r="F8" s="2"/>
      <c r="G8" s="2"/>
      <c r="H8" s="4" t="s">
        <v>3</v>
      </c>
      <c r="I8" s="3"/>
      <c r="J8" s="4" t="s">
        <v>86</v>
      </c>
      <c r="K8" s="3"/>
      <c r="L8" s="4" t="s">
        <v>87</v>
      </c>
      <c r="M8" s="4"/>
      <c r="N8" s="4" t="s">
        <v>88</v>
      </c>
      <c r="O8" s="2"/>
    </row>
    <row r="9" spans="2:15" ht="9" customHeight="1" x14ac:dyDescent="0.25"/>
    <row r="10" spans="2:15" ht="21.75" customHeight="1" x14ac:dyDescent="0.25">
      <c r="B10" s="9" t="s">
        <v>1</v>
      </c>
      <c r="C10" s="9"/>
      <c r="D10" s="66"/>
      <c r="E10" s="66"/>
      <c r="F10" s="10"/>
      <c r="G10" s="10"/>
      <c r="H10" s="11">
        <f>J10+L10+N10</f>
        <v>0</v>
      </c>
      <c r="I10" s="10"/>
      <c r="J10" s="11">
        <f>VLOOKUP(J6,Data!A2:G22,2,FALSE)</f>
        <v>0</v>
      </c>
      <c r="K10" s="10"/>
      <c r="L10" s="11">
        <f>VLOOKUP(L6,Data!A2:G22,2,FALSE)</f>
        <v>0</v>
      </c>
      <c r="M10" s="11"/>
      <c r="N10" s="11">
        <f>VLOOKUP(N6,Data!A2:G22,2,FALSE)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7" t="s">
        <v>45</v>
      </c>
      <c r="C14" s="67"/>
      <c r="D14" s="67"/>
      <c r="E14" s="68"/>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9" t="s">
        <v>72</v>
      </c>
      <c r="C15" s="69"/>
      <c r="D15" s="69"/>
      <c r="E15" s="69"/>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86</v>
      </c>
      <c r="K18" s="3"/>
      <c r="L18" s="4" t="s">
        <v>87</v>
      </c>
      <c r="M18" s="4"/>
      <c r="N18" s="4" t="s">
        <v>88</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74</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75</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70" t="s">
        <v>22</v>
      </c>
      <c r="C23" s="70"/>
      <c r="D23" s="70"/>
      <c r="E23" s="70"/>
      <c r="F23" s="70"/>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71" t="s">
        <v>23</v>
      </c>
      <c r="C24" s="71"/>
      <c r="D24" s="71"/>
      <c r="E24" s="71"/>
      <c r="F24" s="71"/>
      <c r="G24" s="71"/>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90</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72" t="s">
        <v>91</v>
      </c>
      <c r="D32" s="72"/>
      <c r="E32" s="72"/>
      <c r="F32" s="72"/>
      <c r="G32" s="72"/>
      <c r="H32" s="72"/>
      <c r="I32" s="72"/>
      <c r="J32" s="72"/>
      <c r="K32" s="72"/>
      <c r="L32" s="72"/>
      <c r="M32" s="72"/>
      <c r="N32" s="72"/>
      <c r="O32" s="72"/>
    </row>
    <row r="33" spans="2:15" ht="30.75" customHeight="1" x14ac:dyDescent="0.25">
      <c r="B33" s="45">
        <v>4</v>
      </c>
      <c r="C33" s="72" t="s">
        <v>73</v>
      </c>
      <c r="D33" s="72"/>
      <c r="E33" s="72"/>
      <c r="F33" s="72"/>
      <c r="G33" s="72"/>
      <c r="H33" s="72"/>
      <c r="I33" s="72"/>
      <c r="J33" s="72"/>
      <c r="K33" s="72"/>
      <c r="L33" s="72"/>
      <c r="M33" s="72"/>
      <c r="N33" s="72"/>
      <c r="O33" s="72"/>
    </row>
    <row r="34" spans="2:15" ht="48" customHeight="1" x14ac:dyDescent="0.25">
      <c r="B34" s="45">
        <v>5</v>
      </c>
      <c r="C34" s="72" t="s">
        <v>62</v>
      </c>
      <c r="D34" s="72"/>
      <c r="E34" s="72"/>
      <c r="F34" s="72"/>
      <c r="G34" s="72"/>
      <c r="H34" s="72"/>
      <c r="I34" s="72"/>
      <c r="J34" s="72"/>
      <c r="K34" s="72"/>
      <c r="L34" s="72"/>
      <c r="M34" s="72"/>
      <c r="N34" s="72"/>
      <c r="O34" s="72"/>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9Wdx66ZzraDsg+QDX9do8xphbTQMcjJTK6x6m482BgwoiwtXWUVZ5pfqJE88D5CB1OSiW7fC4Q0r4md1ITFW+g==" saltValue="dKav5a6I5V/go8HC75PRcg==" spinCount="100000" sheet="1" objects="1" scenarios="1" selectLockedCells="1"/>
  <mergeCells count="11">
    <mergeCell ref="H2:O2"/>
    <mergeCell ref="D10:E10"/>
    <mergeCell ref="B37:O37"/>
    <mergeCell ref="B14:E14"/>
    <mergeCell ref="B15:E15"/>
    <mergeCell ref="B23:F23"/>
    <mergeCell ref="B24:G24"/>
    <mergeCell ref="C34:O34"/>
    <mergeCell ref="C4:O4"/>
    <mergeCell ref="C32:O32"/>
    <mergeCell ref="C33:O33"/>
  </mergeCells>
  <hyperlinks>
    <hyperlink ref="B14" r:id="rId1" display="Will you enroll in DU's health insurance plan?" xr:uid="{00000000-0004-0000-0100-000000000000}"/>
    <hyperlink ref="B15" r:id="rId2" display="Will you use DU Health &amp; Counseling Services? " xr:uid="{00000000-0004-0000-0100-000001000000}"/>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Data!$A$2:$A$22</xm:f>
          </x14:formula1>
          <xm:sqref>N6 J6 L6</xm:sqref>
        </x14:dataValidation>
        <x14:dataValidation type="list" allowBlank="1" showInputMessage="1" showErrorMessage="1" xr:uid="{00000000-0002-0000-0100-000002000000}">
          <x14:formula1>
            <xm:f>Data!$A$25:$A$26</xm:f>
          </x14:formula1>
          <xm:sqref>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90128-6AE8-44F6-BBE4-B29128D5766C}">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4" t="s">
        <v>82</v>
      </c>
      <c r="I2" s="65"/>
      <c r="J2" s="65"/>
      <c r="K2" s="65"/>
      <c r="L2" s="65"/>
      <c r="M2" s="65"/>
      <c r="N2" s="65"/>
      <c r="O2" s="65"/>
    </row>
    <row r="3" spans="2:15" ht="8.25" customHeight="1" x14ac:dyDescent="0.25">
      <c r="B3" s="19"/>
      <c r="C3" s="19"/>
      <c r="D3" s="19"/>
      <c r="E3" s="19"/>
      <c r="F3" s="19"/>
      <c r="G3" s="19"/>
      <c r="H3" s="20"/>
      <c r="I3" s="21"/>
      <c r="J3" s="21"/>
      <c r="K3" s="21"/>
      <c r="L3" s="21"/>
      <c r="M3" s="21"/>
      <c r="N3" s="21"/>
      <c r="O3" s="21"/>
    </row>
    <row r="4" spans="2:15" ht="36" customHeight="1" x14ac:dyDescent="0.25">
      <c r="B4" s="44"/>
      <c r="C4" s="73" t="s">
        <v>76</v>
      </c>
      <c r="D4" s="73"/>
      <c r="E4" s="73"/>
      <c r="F4" s="73"/>
      <c r="G4" s="73"/>
      <c r="H4" s="73"/>
      <c r="I4" s="73"/>
      <c r="J4" s="73"/>
      <c r="K4" s="73"/>
      <c r="L4" s="73"/>
      <c r="M4" s="73"/>
      <c r="N4" s="73"/>
      <c r="O4" s="73"/>
    </row>
    <row r="5" spans="2:15" ht="19.5" customHeight="1" x14ac:dyDescent="0.25">
      <c r="J5" s="43" t="s">
        <v>83</v>
      </c>
      <c r="L5" s="43" t="s">
        <v>84</v>
      </c>
      <c r="N5" s="43" t="s">
        <v>85</v>
      </c>
    </row>
    <row r="6" spans="2:15" ht="18" customHeight="1" x14ac:dyDescent="0.3">
      <c r="D6" s="6" t="s">
        <v>15</v>
      </c>
      <c r="E6" s="27"/>
      <c r="F6" s="27"/>
      <c r="G6" s="27"/>
      <c r="H6" s="27"/>
      <c r="I6" s="27"/>
      <c r="J6" s="42" t="s">
        <v>70</v>
      </c>
      <c r="L6" s="42" t="s">
        <v>70</v>
      </c>
      <c r="M6" s="22"/>
      <c r="N6" s="42" t="s">
        <v>70</v>
      </c>
      <c r="O6" s="27"/>
    </row>
    <row r="7" spans="2:15" ht="6" customHeight="1" x14ac:dyDescent="0.25"/>
    <row r="8" spans="2:15" ht="15.75" thickBot="1" x14ac:dyDescent="0.3">
      <c r="B8" s="1" t="s">
        <v>7</v>
      </c>
      <c r="C8" s="1"/>
      <c r="D8" s="2"/>
      <c r="E8" s="2"/>
      <c r="F8" s="2"/>
      <c r="G8" s="2"/>
      <c r="H8" s="4" t="s">
        <v>3</v>
      </c>
      <c r="I8" s="3"/>
      <c r="J8" s="4" t="s">
        <v>86</v>
      </c>
      <c r="K8" s="3"/>
      <c r="L8" s="4" t="s">
        <v>87</v>
      </c>
      <c r="M8" s="4"/>
      <c r="N8" s="4" t="s">
        <v>88</v>
      </c>
      <c r="O8" s="2"/>
    </row>
    <row r="9" spans="2:15" ht="9" customHeight="1" x14ac:dyDescent="0.25"/>
    <row r="10" spans="2:15" ht="21.75" customHeight="1" x14ac:dyDescent="0.25">
      <c r="B10" s="9" t="s">
        <v>1</v>
      </c>
      <c r="C10" s="9"/>
      <c r="D10" s="66"/>
      <c r="E10" s="66"/>
      <c r="F10" s="10"/>
      <c r="G10" s="10"/>
      <c r="H10" s="11">
        <f>J10+L10+N10</f>
        <v>0</v>
      </c>
      <c r="I10" s="10"/>
      <c r="J10" s="11">
        <f>VLOOKUP(J6,Data!A2:G22,3,FALSE)</f>
        <v>0</v>
      </c>
      <c r="K10" s="10"/>
      <c r="L10" s="11">
        <f>VLOOKUP(L6,Data!A2:G22,3,FALSE)</f>
        <v>0</v>
      </c>
      <c r="M10" s="11"/>
      <c r="N10" s="11">
        <f>VLOOKUP(N6,Data!A2:G22,3,FALSE)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7" t="s">
        <v>45</v>
      </c>
      <c r="C14" s="67"/>
      <c r="D14" s="67"/>
      <c r="E14" s="68"/>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9" t="s">
        <v>72</v>
      </c>
      <c r="C15" s="69"/>
      <c r="D15" s="69"/>
      <c r="E15" s="69"/>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86</v>
      </c>
      <c r="K18" s="3"/>
      <c r="L18" s="4" t="s">
        <v>87</v>
      </c>
      <c r="M18" s="4"/>
      <c r="N18" s="4" t="s">
        <v>88</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74</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75</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70" t="s">
        <v>22</v>
      </c>
      <c r="C23" s="70"/>
      <c r="D23" s="70"/>
      <c r="E23" s="70"/>
      <c r="F23" s="70"/>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71" t="s">
        <v>23</v>
      </c>
      <c r="C24" s="71"/>
      <c r="D24" s="71"/>
      <c r="E24" s="71"/>
      <c r="F24" s="71"/>
      <c r="G24" s="71"/>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93</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72" t="s">
        <v>94</v>
      </c>
      <c r="D32" s="72"/>
      <c r="E32" s="72"/>
      <c r="F32" s="72"/>
      <c r="G32" s="72"/>
      <c r="H32" s="72"/>
      <c r="I32" s="72"/>
      <c r="J32" s="72"/>
      <c r="K32" s="72"/>
      <c r="L32" s="72"/>
      <c r="M32" s="72"/>
      <c r="N32" s="72"/>
      <c r="O32" s="72"/>
    </row>
    <row r="33" spans="2:15" ht="30.75" customHeight="1" x14ac:dyDescent="0.25">
      <c r="B33" s="45">
        <v>4</v>
      </c>
      <c r="C33" s="72" t="s">
        <v>73</v>
      </c>
      <c r="D33" s="72"/>
      <c r="E33" s="72"/>
      <c r="F33" s="72"/>
      <c r="G33" s="72"/>
      <c r="H33" s="72"/>
      <c r="I33" s="72"/>
      <c r="J33" s="72"/>
      <c r="K33" s="72"/>
      <c r="L33" s="72"/>
      <c r="M33" s="72"/>
      <c r="N33" s="72"/>
      <c r="O33" s="72"/>
    </row>
    <row r="34" spans="2:15" ht="48" customHeight="1" x14ac:dyDescent="0.25">
      <c r="B34" s="45">
        <v>5</v>
      </c>
      <c r="C34" s="72" t="s">
        <v>62</v>
      </c>
      <c r="D34" s="72"/>
      <c r="E34" s="72"/>
      <c r="F34" s="72"/>
      <c r="G34" s="72"/>
      <c r="H34" s="72"/>
      <c r="I34" s="72"/>
      <c r="J34" s="72"/>
      <c r="K34" s="72"/>
      <c r="L34" s="72"/>
      <c r="M34" s="72"/>
      <c r="N34" s="72"/>
      <c r="O34" s="72"/>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yxjby+3796CfSE+rODej0DOTNOHxfaUFzAQlyY4OwNMcrf0qo1uPIDzsFl8v073hY6iEfmB+Ol9QKQJ3eNBWlw==" saltValue="wLVrSOHlHUFL7u7GzlkE7w==" spinCount="100000" sheet="1" objects="1" scenarios="1" selectLockedCells="1"/>
  <mergeCells count="11">
    <mergeCell ref="B24:G24"/>
    <mergeCell ref="C32:O32"/>
    <mergeCell ref="C33:O33"/>
    <mergeCell ref="C34:O34"/>
    <mergeCell ref="B37:O37"/>
    <mergeCell ref="B23:F23"/>
    <mergeCell ref="H2:O2"/>
    <mergeCell ref="C4:O4"/>
    <mergeCell ref="D10:E10"/>
    <mergeCell ref="B14:E14"/>
    <mergeCell ref="B15:E15"/>
  </mergeCells>
  <hyperlinks>
    <hyperlink ref="B14" r:id="rId1" display="Will you enroll in DU's health insurance plan?" xr:uid="{40C5DE0D-3223-4006-8ADA-AF09A288BB44}"/>
    <hyperlink ref="B15" r:id="rId2" display="Will you use DU Health &amp; Counseling Services? " xr:uid="{3BA48BF8-CAB5-44F1-909C-990D4D63FD06}"/>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32E078C3-AE96-4777-8A99-25AAA6C7F611}">
          <x14:formula1>
            <xm:f>Data!$A$25:$A$26</xm:f>
          </x14:formula1>
          <xm:sqref>F14</xm:sqref>
        </x14:dataValidation>
        <x14:dataValidation type="list" allowBlank="1" showInputMessage="1" showErrorMessage="1" xr:uid="{A232ABF9-83ED-4AD0-B7A4-E71BC1391B0F}">
          <x14:formula1>
            <xm:f>Data!$A$2:$A$22</xm:f>
          </x14:formula1>
          <xm:sqref>N6 J6 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D4D3-E7E6-433A-B659-230A55AE230F}">
  <sheetPr>
    <pageSetUpPr fitToPage="1"/>
  </sheetPr>
  <dimension ref="B1:O37"/>
  <sheetViews>
    <sheetView showGridLines="0" showRowColHeaders="0" showRuler="0" zoomScaleNormal="100" workbookViewId="0">
      <selection activeCell="J6" sqref="J6"/>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4" t="s">
        <v>82</v>
      </c>
      <c r="I2" s="65"/>
      <c r="J2" s="65"/>
      <c r="K2" s="65"/>
      <c r="L2" s="65"/>
      <c r="M2" s="65"/>
      <c r="N2" s="65"/>
      <c r="O2" s="65"/>
    </row>
    <row r="3" spans="2:15" ht="8.25" customHeight="1" x14ac:dyDescent="0.25">
      <c r="B3" s="19"/>
      <c r="C3" s="19"/>
      <c r="D3" s="19"/>
      <c r="E3" s="19"/>
      <c r="F3" s="19"/>
      <c r="G3" s="19"/>
      <c r="H3" s="20"/>
      <c r="I3" s="21"/>
      <c r="J3" s="21"/>
      <c r="K3" s="21"/>
      <c r="L3" s="21"/>
      <c r="M3" s="21"/>
      <c r="N3" s="21"/>
      <c r="O3" s="21"/>
    </row>
    <row r="4" spans="2:15" ht="36" customHeight="1" x14ac:dyDescent="0.25">
      <c r="B4" s="44"/>
      <c r="C4" s="73" t="s">
        <v>77</v>
      </c>
      <c r="D4" s="73"/>
      <c r="E4" s="73"/>
      <c r="F4" s="73"/>
      <c r="G4" s="73"/>
      <c r="H4" s="73"/>
      <c r="I4" s="73"/>
      <c r="J4" s="73"/>
      <c r="K4" s="73"/>
      <c r="L4" s="73"/>
      <c r="M4" s="73"/>
      <c r="N4" s="73"/>
      <c r="O4" s="73"/>
    </row>
    <row r="5" spans="2:15" ht="19.5" customHeight="1" x14ac:dyDescent="0.25">
      <c r="J5" s="43" t="s">
        <v>83</v>
      </c>
      <c r="L5" s="43" t="s">
        <v>84</v>
      </c>
      <c r="N5" s="43" t="s">
        <v>85</v>
      </c>
    </row>
    <row r="6" spans="2:15" ht="18" customHeight="1" x14ac:dyDescent="0.3">
      <c r="D6" s="6" t="s">
        <v>15</v>
      </c>
      <c r="E6" s="27"/>
      <c r="F6" s="27"/>
      <c r="G6" s="27"/>
      <c r="H6" s="27"/>
      <c r="I6" s="27"/>
      <c r="J6" s="42" t="s">
        <v>70</v>
      </c>
      <c r="L6" s="42" t="s">
        <v>70</v>
      </c>
      <c r="M6" s="22"/>
      <c r="N6" s="42" t="s">
        <v>70</v>
      </c>
      <c r="O6" s="27"/>
    </row>
    <row r="7" spans="2:15" ht="6" customHeight="1" x14ac:dyDescent="0.25"/>
    <row r="8" spans="2:15" ht="15.75" thickBot="1" x14ac:dyDescent="0.3">
      <c r="B8" s="1" t="s">
        <v>7</v>
      </c>
      <c r="C8" s="1"/>
      <c r="D8" s="2"/>
      <c r="E8" s="2"/>
      <c r="F8" s="2"/>
      <c r="G8" s="2"/>
      <c r="H8" s="4" t="s">
        <v>3</v>
      </c>
      <c r="I8" s="3"/>
      <c r="J8" s="4" t="s">
        <v>86</v>
      </c>
      <c r="K8" s="3"/>
      <c r="L8" s="4" t="s">
        <v>87</v>
      </c>
      <c r="M8" s="4"/>
      <c r="N8" s="4" t="s">
        <v>88</v>
      </c>
      <c r="O8" s="2"/>
    </row>
    <row r="9" spans="2:15" ht="9" customHeight="1" x14ac:dyDescent="0.25"/>
    <row r="10" spans="2:15" ht="21.75" customHeight="1" x14ac:dyDescent="0.25">
      <c r="B10" s="9" t="s">
        <v>1</v>
      </c>
      <c r="C10" s="9"/>
      <c r="D10" s="66"/>
      <c r="E10" s="66"/>
      <c r="F10" s="10"/>
      <c r="G10" s="10"/>
      <c r="H10" s="11">
        <f>J10+L10+N10</f>
        <v>0</v>
      </c>
      <c r="I10" s="10"/>
      <c r="J10" s="11">
        <f>VLOOKUP(J6,Data!A2:G22,6,FALSE)</f>
        <v>0</v>
      </c>
      <c r="K10" s="10"/>
      <c r="L10" s="11">
        <f>VLOOKUP(L6,Data!A2:G22,6,FALSE)</f>
        <v>0</v>
      </c>
      <c r="M10" s="11"/>
      <c r="N10" s="11">
        <f>VLOOKUP(N6,Data!A2:G22,6,FALSE)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7" t="s">
        <v>45</v>
      </c>
      <c r="C14" s="67"/>
      <c r="D14" s="67"/>
      <c r="E14" s="68"/>
      <c r="F14" s="29"/>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9" t="s">
        <v>72</v>
      </c>
      <c r="C15" s="69"/>
      <c r="D15" s="69"/>
      <c r="E15" s="69"/>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86</v>
      </c>
      <c r="K18" s="3"/>
      <c r="L18" s="4" t="s">
        <v>87</v>
      </c>
      <c r="M18" s="4"/>
      <c r="N18" s="4" t="s">
        <v>88</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74</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75</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70" t="s">
        <v>22</v>
      </c>
      <c r="C23" s="70"/>
      <c r="D23" s="70"/>
      <c r="E23" s="70"/>
      <c r="F23" s="70"/>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71" t="s">
        <v>23</v>
      </c>
      <c r="C24" s="71"/>
      <c r="D24" s="71"/>
      <c r="E24" s="71"/>
      <c r="F24" s="71"/>
      <c r="G24" s="71"/>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95</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72" t="s">
        <v>91</v>
      </c>
      <c r="D32" s="72"/>
      <c r="E32" s="72"/>
      <c r="F32" s="72"/>
      <c r="G32" s="72"/>
      <c r="H32" s="72"/>
      <c r="I32" s="72"/>
      <c r="J32" s="72"/>
      <c r="K32" s="72"/>
      <c r="L32" s="72"/>
      <c r="M32" s="72"/>
      <c r="N32" s="72"/>
      <c r="O32" s="72"/>
    </row>
    <row r="33" spans="2:15" ht="30.75" customHeight="1" x14ac:dyDescent="0.25">
      <c r="B33" s="45">
        <v>4</v>
      </c>
      <c r="C33" s="72" t="s">
        <v>73</v>
      </c>
      <c r="D33" s="72"/>
      <c r="E33" s="72"/>
      <c r="F33" s="72"/>
      <c r="G33" s="72"/>
      <c r="H33" s="72"/>
      <c r="I33" s="72"/>
      <c r="J33" s="72"/>
      <c r="K33" s="72"/>
      <c r="L33" s="72"/>
      <c r="M33" s="72"/>
      <c r="N33" s="72"/>
      <c r="O33" s="72"/>
    </row>
    <row r="34" spans="2:15" ht="48" customHeight="1" x14ac:dyDescent="0.25">
      <c r="B34" s="45">
        <v>5</v>
      </c>
      <c r="C34" s="72" t="s">
        <v>62</v>
      </c>
      <c r="D34" s="72"/>
      <c r="E34" s="72"/>
      <c r="F34" s="72"/>
      <c r="G34" s="72"/>
      <c r="H34" s="72"/>
      <c r="I34" s="72"/>
      <c r="J34" s="72"/>
      <c r="K34" s="72"/>
      <c r="L34" s="72"/>
      <c r="M34" s="72"/>
      <c r="N34" s="72"/>
      <c r="O34" s="72"/>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bT/YefsqRDNvIISA6lJ3Jbk2soQdunEBvyralIACavsHVdVfAY0bS0ROE9ljzf03UJkNRlsztER0rHBzDjPNBw==" saltValue="Fy0zK1KHnZRTmTAXMoZlmA==" spinCount="100000" sheet="1" objects="1" scenarios="1" selectLockedCells="1"/>
  <mergeCells count="11">
    <mergeCell ref="B24:G24"/>
    <mergeCell ref="C32:O32"/>
    <mergeCell ref="C33:O33"/>
    <mergeCell ref="C34:O34"/>
    <mergeCell ref="B37:O37"/>
    <mergeCell ref="B23:F23"/>
    <mergeCell ref="H2:O2"/>
    <mergeCell ref="C4:O4"/>
    <mergeCell ref="D10:E10"/>
    <mergeCell ref="B14:E14"/>
    <mergeCell ref="B15:E15"/>
  </mergeCells>
  <hyperlinks>
    <hyperlink ref="B14" r:id="rId1" display="Will you enroll in DU's health insurance plan?" xr:uid="{62A9D023-0533-4CA6-8177-4000229DB26D}"/>
    <hyperlink ref="B15" r:id="rId2" display="Will you use DU Health &amp; Counseling Services? " xr:uid="{1D959E09-B7E9-4C79-96A5-24F0381994D5}"/>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DEE245C-042B-4A78-A683-B274313F9434}">
          <x14:formula1>
            <xm:f>Data!$A$2:$A$22</xm:f>
          </x14:formula1>
          <xm:sqref>N6 J6 L6</xm:sqref>
        </x14:dataValidation>
        <x14:dataValidation type="list" allowBlank="1" showInputMessage="1" showErrorMessage="1" xr:uid="{BAF6B988-5158-4EDC-ADEF-9610EB26B184}">
          <x14:formula1>
            <xm:f>Data!$A$25:$A$26</xm:f>
          </x14:formula1>
          <xm:sqref>F14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1EDA4-AC23-4530-9791-4D535F5DCE8B}">
  <sheetPr>
    <pageSetUpPr fitToPage="1"/>
  </sheetPr>
  <dimension ref="B1:O37"/>
  <sheetViews>
    <sheetView showGridLines="0" showRowColHeaders="0" showRuler="0" zoomScaleNormal="100" workbookViewId="0">
      <selection activeCell="F14" sqref="F14"/>
    </sheetView>
  </sheetViews>
  <sheetFormatPr defaultColWidth="8.85546875" defaultRowHeight="15" x14ac:dyDescent="0.25"/>
  <cols>
    <col min="1" max="1" width="4.140625" customWidth="1"/>
    <col min="2" max="2" width="2.140625" customWidth="1"/>
    <col min="5" max="5" width="26.140625" customWidth="1"/>
    <col min="6" max="6" width="11.42578125" bestFit="1" customWidth="1"/>
    <col min="8" max="8" width="14.85546875" style="5" customWidth="1"/>
    <col min="9" max="9" width="4.7109375" customWidth="1"/>
    <col min="10" max="10" width="13.42578125" style="5" customWidth="1"/>
    <col min="11" max="11" width="4.7109375" customWidth="1"/>
    <col min="12" max="12" width="13.42578125" style="5" customWidth="1"/>
    <col min="13" max="13" width="4.7109375" style="5" customWidth="1"/>
    <col min="14" max="14" width="13.42578125" style="5" customWidth="1"/>
    <col min="15" max="15" width="3.42578125" customWidth="1"/>
  </cols>
  <sheetData>
    <row r="1" spans="2:15" ht="17.25" customHeight="1" x14ac:dyDescent="0.25"/>
    <row r="2" spans="2:15" ht="47.25" customHeight="1" x14ac:dyDescent="0.25">
      <c r="H2" s="64" t="s">
        <v>82</v>
      </c>
      <c r="I2" s="65"/>
      <c r="J2" s="65"/>
      <c r="K2" s="65"/>
      <c r="L2" s="65"/>
      <c r="M2" s="65"/>
      <c r="N2" s="65"/>
      <c r="O2" s="65"/>
    </row>
    <row r="3" spans="2:15" ht="8.25" customHeight="1" x14ac:dyDescent="0.25">
      <c r="B3" s="19"/>
      <c r="C3" s="19"/>
      <c r="D3" s="19"/>
      <c r="E3" s="19"/>
      <c r="F3" s="19"/>
      <c r="G3" s="19"/>
      <c r="H3" s="20"/>
      <c r="I3" s="21"/>
      <c r="J3" s="21"/>
      <c r="K3" s="21"/>
      <c r="L3" s="21"/>
      <c r="M3" s="21"/>
      <c r="N3" s="21"/>
      <c r="O3" s="21"/>
    </row>
    <row r="4" spans="2:15" ht="36" customHeight="1" x14ac:dyDescent="0.25">
      <c r="B4" s="44"/>
      <c r="C4" s="63" t="s">
        <v>78</v>
      </c>
      <c r="D4" s="63"/>
      <c r="E4" s="63"/>
      <c r="F4" s="63"/>
      <c r="G4" s="63"/>
      <c r="H4" s="63"/>
      <c r="I4" s="63"/>
      <c r="J4" s="63"/>
      <c r="K4" s="63"/>
      <c r="L4" s="63"/>
      <c r="M4" s="63"/>
      <c r="N4" s="63"/>
      <c r="O4" s="63"/>
    </row>
    <row r="5" spans="2:15" ht="19.5" customHeight="1" x14ac:dyDescent="0.25">
      <c r="J5" s="43" t="s">
        <v>83</v>
      </c>
      <c r="L5" s="43" t="s">
        <v>84</v>
      </c>
      <c r="N5" s="43" t="s">
        <v>85</v>
      </c>
    </row>
    <row r="6" spans="2:15" ht="18" customHeight="1" x14ac:dyDescent="0.3">
      <c r="D6" s="6" t="s">
        <v>15</v>
      </c>
      <c r="E6" s="27"/>
      <c r="F6" s="27"/>
      <c r="G6" s="27"/>
      <c r="H6" s="27"/>
      <c r="I6" s="27"/>
      <c r="J6" s="42" t="s">
        <v>70</v>
      </c>
      <c r="L6" s="42" t="s">
        <v>70</v>
      </c>
      <c r="M6" s="22"/>
      <c r="N6" s="42" t="s">
        <v>70</v>
      </c>
      <c r="O6" s="27"/>
    </row>
    <row r="7" spans="2:15" ht="6" customHeight="1" x14ac:dyDescent="0.25"/>
    <row r="8" spans="2:15" ht="15.75" thickBot="1" x14ac:dyDescent="0.3">
      <c r="B8" s="1" t="s">
        <v>7</v>
      </c>
      <c r="C8" s="1"/>
      <c r="D8" s="2"/>
      <c r="E8" s="2"/>
      <c r="F8" s="2"/>
      <c r="G8" s="2"/>
      <c r="H8" s="4" t="s">
        <v>3</v>
      </c>
      <c r="I8" s="3"/>
      <c r="J8" s="4" t="s">
        <v>86</v>
      </c>
      <c r="K8" s="3"/>
      <c r="L8" s="4" t="s">
        <v>87</v>
      </c>
      <c r="M8" s="4"/>
      <c r="N8" s="4" t="s">
        <v>88</v>
      </c>
      <c r="O8" s="2"/>
    </row>
    <row r="9" spans="2:15" ht="9" customHeight="1" x14ac:dyDescent="0.25"/>
    <row r="10" spans="2:15" ht="21.75" customHeight="1" x14ac:dyDescent="0.25">
      <c r="B10" s="9" t="s">
        <v>1</v>
      </c>
      <c r="C10" s="9"/>
      <c r="D10" s="66"/>
      <c r="E10" s="66"/>
      <c r="F10" s="10"/>
      <c r="G10" s="10"/>
      <c r="H10" s="11">
        <f>J10+L10+N10</f>
        <v>0</v>
      </c>
      <c r="I10" s="10"/>
      <c r="J10" s="11">
        <f>VLOOKUP(J6,Data!A2:G22,4,FALSE)</f>
        <v>0</v>
      </c>
      <c r="K10" s="10"/>
      <c r="L10" s="11">
        <f>VLOOKUP(L6,Data!A2:G22,4,FALSE)</f>
        <v>0</v>
      </c>
      <c r="M10" s="11"/>
      <c r="N10" s="11">
        <f>VLOOKUP(N6,Data!A2:G22,4,FALSE)</f>
        <v>0</v>
      </c>
      <c r="O10" s="10"/>
    </row>
    <row r="11" spans="2:15" ht="21.75" customHeight="1" x14ac:dyDescent="0.25">
      <c r="B11" s="34" t="s">
        <v>0</v>
      </c>
      <c r="C11" s="34"/>
    </row>
    <row r="12" spans="2:15" ht="21.75" customHeight="1" x14ac:dyDescent="0.25">
      <c r="B12" s="12" t="s">
        <v>2</v>
      </c>
      <c r="C12" s="12"/>
      <c r="D12" s="10"/>
      <c r="E12" s="10"/>
      <c r="F12" s="10"/>
      <c r="G12" s="10"/>
      <c r="H12" s="11">
        <f>J12+L12+N12</f>
        <v>0</v>
      </c>
      <c r="I12" s="10"/>
      <c r="J12" s="11">
        <f>VLOOKUP(J6,Data!A2:G22,7,FALSE)</f>
        <v>0</v>
      </c>
      <c r="K12" s="10"/>
      <c r="L12" s="11">
        <f>VLOOKUP(L6,Data!A2:G22,7,FALSE)</f>
        <v>0</v>
      </c>
      <c r="M12" s="11"/>
      <c r="N12" s="11">
        <f>VLOOKUP(N6,Data!A2:G22,7,FALSE)</f>
        <v>0</v>
      </c>
      <c r="O12" s="10"/>
    </row>
    <row r="13" spans="2:15" ht="21.75" customHeight="1" x14ac:dyDescent="0.25">
      <c r="B13" s="36" t="s">
        <v>17</v>
      </c>
      <c r="C13" s="36"/>
      <c r="H13" s="5">
        <f>J13+L13+N13</f>
        <v>0</v>
      </c>
      <c r="J13" s="5">
        <f>IF(AND(J6&lt;&gt;"not enrolled", J6&lt;&gt;"select"), 57, 0)</f>
        <v>0</v>
      </c>
      <c r="L13" s="5">
        <f>IF(AND(L6&lt;&gt;"not enrolled", L6&lt;&gt;"select"), 57, 0)</f>
        <v>0</v>
      </c>
      <c r="N13" s="5">
        <f>IF(AND(N6&lt;&gt;"not enrolled", N6&lt;&gt;"select"), 57, 0)</f>
        <v>0</v>
      </c>
    </row>
    <row r="14" spans="2:15" ht="21.75" customHeight="1" x14ac:dyDescent="0.25">
      <c r="B14" s="67" t="s">
        <v>45</v>
      </c>
      <c r="C14" s="67"/>
      <c r="D14" s="67"/>
      <c r="E14" s="68"/>
      <c r="F14" s="29" t="s">
        <v>5</v>
      </c>
      <c r="G14" s="10"/>
      <c r="H14" s="28">
        <f>J14+L14+N14</f>
        <v>0</v>
      </c>
      <c r="I14" s="10"/>
      <c r="J14" s="28">
        <f>IF(AND(F14="Yes", J6&lt;&gt;"not enrolled"), (VLOOKUP(F14, Data!A25:C26, 2, FALSE)), 0)</f>
        <v>0</v>
      </c>
      <c r="K14" s="10"/>
      <c r="L14" s="28">
        <v>0</v>
      </c>
      <c r="M14" s="28"/>
      <c r="N14" s="28">
        <f>IF(AND(F14="Yes", N6&lt;&gt;"not enrolled"), (VLOOKUP(F14, Data!A25:C26, 2, FALSE)), 0)</f>
        <v>0</v>
      </c>
      <c r="O14" s="10"/>
    </row>
    <row r="15" spans="2:15" ht="21.75" customHeight="1" x14ac:dyDescent="0.25">
      <c r="B15" s="69" t="s">
        <v>72</v>
      </c>
      <c r="C15" s="69"/>
      <c r="D15" s="69"/>
      <c r="E15" s="69"/>
      <c r="F15" s="59"/>
      <c r="G15" s="30"/>
      <c r="H15" s="31">
        <f>J15+L15+N15</f>
        <v>0</v>
      </c>
      <c r="I15" s="30"/>
      <c r="J15" s="58">
        <f>IF(AND(J6&lt;&gt;"select", J6&lt;&gt;"not enrolled",J6&lt;&gt;"4 credits",J6&lt;&gt;"5 credits",J6&lt;&gt;"6 credits",J6&lt;&gt;"7 credits"), 250, 0)</f>
        <v>0</v>
      </c>
      <c r="K15" s="30"/>
      <c r="L15" s="58">
        <f>IF(AND(L6&lt;&gt;"select", L6&lt;&gt;"not enrolled",L6&lt;&gt;"4 credits",L6&lt;&gt;"5 credits",L6&lt;&gt;"6 credits",L6&lt;&gt;"7 credits"), 250, 0)</f>
        <v>0</v>
      </c>
      <c r="M15" s="31"/>
      <c r="N15" s="58">
        <f>IF(AND(N6&lt;&gt;"select", N6&lt;&gt;"not enrolled",N6&lt;&gt;"4 credits",N6&lt;&gt;"5 credits",N6&lt;&gt;"6 credits",N6&lt;&gt;"7 credits"), 250, 0)</f>
        <v>0</v>
      </c>
      <c r="O15" s="30"/>
    </row>
    <row r="16" spans="2:15" ht="21.75" customHeight="1" x14ac:dyDescent="0.25">
      <c r="D16" s="7" t="s">
        <v>6</v>
      </c>
      <c r="H16" s="8">
        <f>SUM(H10, H12:H15)</f>
        <v>0</v>
      </c>
      <c r="J16" s="8">
        <f>SUM(J10,J12:J15)</f>
        <v>0</v>
      </c>
      <c r="L16" s="8">
        <f>SUM(L10,L12:L15)</f>
        <v>0</v>
      </c>
      <c r="M16" s="8"/>
      <c r="N16" s="8">
        <f>SUM(N10,N12:N15)</f>
        <v>0</v>
      </c>
    </row>
    <row r="17" spans="2:15" ht="24" customHeight="1" x14ac:dyDescent="0.25"/>
    <row r="18" spans="2:15" ht="15.75" thickBot="1" x14ac:dyDescent="0.3">
      <c r="B18" s="1" t="s">
        <v>11</v>
      </c>
      <c r="C18" s="1"/>
      <c r="D18" s="2"/>
      <c r="E18" s="2"/>
      <c r="F18" s="2"/>
      <c r="G18" s="2"/>
      <c r="H18" s="4" t="s">
        <v>3</v>
      </c>
      <c r="I18" s="3"/>
      <c r="J18" s="4" t="s">
        <v>86</v>
      </c>
      <c r="K18" s="3"/>
      <c r="L18" s="4" t="s">
        <v>87</v>
      </c>
      <c r="M18" s="4"/>
      <c r="N18" s="4" t="s">
        <v>88</v>
      </c>
      <c r="O18" s="2"/>
    </row>
    <row r="19" spans="2:15" ht="21.75" customHeight="1" x14ac:dyDescent="0.25">
      <c r="B19" t="s">
        <v>16</v>
      </c>
      <c r="H19" s="15"/>
      <c r="J19" s="5">
        <f>IF((AND(J6&lt;&gt;"not enrolled", L6&lt;&gt;"not enrolled", N6&lt;&gt;"not enrolled")), (H19/3), IF((AND(J6&lt;&gt;"not enrolled", L6&lt;&gt;"not enrolled", N6="not enrolled")), (H19/2), IF((AND(J6&lt;&gt;"not enrolled", L6="not enrolled", N6="not enrolled")), (H19/1), 0)))</f>
        <v>0</v>
      </c>
      <c r="L19" s="5">
        <f>IF((AND(J6&lt;&gt;"not enrolled", L6&lt;&gt;"not enrolled", N6&lt;&gt;"not enrolled")), (H19/3), IF((AND(J6&lt;&gt;"not enrolled", L6&lt;&gt;"not enrolled", N6="not enrolled")), (H19/2), IF((AND(J6="not enrolled", L6&lt;&gt;"not enrolled", N6&lt;&gt;"not enrolled")), (H19/2), 0)))</f>
        <v>0</v>
      </c>
      <c r="N19" s="5">
        <f>IF((AND(J6&lt;&gt;"not enrolled", L6&lt;&gt;"not enrolled", N6&lt;&gt;"not enrolled")), (H19/3), IF((AND(J6="not enrolled", L6&lt;&gt;"not enrolled", N6&lt;&gt;"not enrolled")), (H19/2), IF((AND(J6="not enrolled", L6="not enrolled", N6&lt;&gt;"not enrolled")), (H19), 0)))</f>
        <v>0</v>
      </c>
    </row>
    <row r="20" spans="2:15" ht="21.75" customHeight="1" x14ac:dyDescent="0.25">
      <c r="B20" s="10" t="s">
        <v>8</v>
      </c>
      <c r="C20" s="10"/>
      <c r="D20" s="10"/>
      <c r="E20" s="10"/>
      <c r="F20" s="10"/>
      <c r="G20" s="10"/>
      <c r="H20" s="16"/>
      <c r="I20" s="10"/>
      <c r="J20" s="11">
        <f>IF((AND(J6&lt;&gt;"not enrolled", L6&lt;&gt;"not enrolled", N6&lt;&gt;"not enrolled")), (H20/3), IF((AND(J6&lt;&gt;"not enrolled", L6&lt;&gt;"not enrolled", N6="not enrolled")), (H20/2), IF((AND(J6&lt;&gt;"not enrolled", L6="not enrolled", N6="not enrolled")), (H20/1), 0)))</f>
        <v>0</v>
      </c>
      <c r="K20" s="10"/>
      <c r="L20" s="11">
        <f>IF((AND(J6&lt;&gt;"not enrolled", L6&lt;&gt;"not enrolled", N6&lt;&gt;"not enrolled")), (H20/3), IF((AND(J6&lt;&gt;"not enrolled", L6&lt;&gt;"not enrolled", N6="not enrolled")), (H20/2), IF((AND(J6="not enrolled", L6&lt;&gt;"not enrolled", N6&lt;&gt;"not enrolled")), (H20/2), 0)))</f>
        <v>0</v>
      </c>
      <c r="M20" s="11"/>
      <c r="N20" s="11">
        <f>IF((AND(J6&lt;&gt;"not enrolled", L6&lt;&gt;"not enrolled", N6&lt;&gt;"not enrolled")), (H20/3), IF((AND(J6="not enrolled", L6&lt;&gt;"not enrolled", N6&lt;&gt;"not enrolled")), (H20/2), IF((AND(J6="not enrolled", L6="not enrolled", N6&lt;&gt;"not enrolled")), (H20), 0)))</f>
        <v>0</v>
      </c>
      <c r="O20" s="10"/>
    </row>
    <row r="21" spans="2:15" ht="21.75" customHeight="1" x14ac:dyDescent="0.25">
      <c r="B21" t="s">
        <v>74</v>
      </c>
      <c r="F21" s="17"/>
      <c r="H21" s="5">
        <f>SUM(J21,L21,N21)</f>
        <v>0</v>
      </c>
      <c r="J21" s="5">
        <f>IF((AND(J6&lt;&gt;"not enrolled", L6&lt;&gt;"not enrolled", N6&lt;&gt;"not enrolled")), ROUND(((F21-(F21*0.01057))/3),0), IF((AND(J6&lt;&gt;"not enrolled", L6&lt;&gt;"not enrolled", N6="not enrolled")), ROUND(((F21-(F21*0.01057))/2),0), IF((AND(J6&lt;&gt;"not enrolled", L6="not enrolled", N6="not enrolled")), ROUND(((F21-(F21*0.01057))/1),0), 0)))</f>
        <v>0</v>
      </c>
      <c r="L21" s="5">
        <f>IF((AND(J6&lt;&gt;"not enrolled", L6&lt;&gt;"not enrolled", N6&lt;&gt;"not enrolled")), ROUND(((F21-(F21*0.01057))/3),0), IF((AND(J6&lt;&gt;"not enrolled", L6&lt;&gt;"not enrolled", N6="not enrolled")), ROUND(((F21-(F21*0.01057))/2),0), IF((AND(J6="not enrolled", L6&lt;&gt;"not enrolled", N6&lt;&gt;"not enrolled")), ROUND(((F21-(F21*0.01057))/2),0), 0)))</f>
        <v>0</v>
      </c>
      <c r="N21" s="5">
        <f>IF((AND(J6&lt;&gt;"not enrolled", L6&lt;&gt;"not enrolled", N6&lt;&gt;"not enrolled")), ROUND(((F21-(F21*0.01057))/3),0), IF((AND(J6="not enrolled", L6&lt;&gt;"not enrolled", N6&lt;&gt;"not enrolled")), ROUND(((F21-(F21*0.01057))/2),0), IF((AND(J6="not enrolled", L6="not enrolled", N6&lt;&gt;"not enrolled")), ROUND(((F21-(F21*0.01057))/1),0), 0)))</f>
        <v>0</v>
      </c>
    </row>
    <row r="22" spans="2:15" ht="21.75" customHeight="1" x14ac:dyDescent="0.25">
      <c r="B22" s="10" t="s">
        <v>75</v>
      </c>
      <c r="C22" s="10"/>
      <c r="D22" s="10"/>
      <c r="E22" s="10"/>
      <c r="F22" s="17"/>
      <c r="G22" s="10"/>
      <c r="H22" s="11">
        <f>SUM(J22,L22,N22)</f>
        <v>0</v>
      </c>
      <c r="I22" s="10"/>
      <c r="J22" s="11">
        <f>IF((AND(J6&lt;&gt;"not enrolled", L6&lt;&gt;"not enrolled", N6&lt;&gt;"not enrolled")), ROUND(((F22-(F22*0.04228))/3),0), IF((AND(J6&lt;&gt;"not enrolled", L6&lt;&gt;"not enrolled", N6="not enrolled")), ROUND(((F22-(F22*0.04228))/2),0), IF((AND(J6&lt;&gt;"not enrolled", L6="not enrolled", N6="not enrolled")), ROUND(((F22-(F22*0.04228))/1),0), 0)))</f>
        <v>0</v>
      </c>
      <c r="K22" s="10"/>
      <c r="L22" s="11">
        <f>IF((AND(J6&lt;&gt;"not enrolled", L6&lt;&gt;"not enrolled", N6&lt;&gt;"not enrolled")), ROUND(((F22-(F22*0.04228))/3),0), IF((AND(J6&lt;&gt;"not enrolled", L6&lt;&gt;"not enrolled", N6="not enrolled")), ROUND(((F22-(F22*0.04228))/2),0), IF((AND(J6="not enrolled", L6&lt;&gt;"not enrolled", N6&lt;&gt;"not enrolled")), ROUND(((F22-(F22*0.04228))/2),0), 0)))</f>
        <v>0</v>
      </c>
      <c r="M22" s="11"/>
      <c r="N22" s="11">
        <f>IF((AND(J6&lt;&gt;"not enrolled", L6&lt;&gt;"not enrolled", N6&lt;&gt;"not enrolled")), ROUND(((F22-(F22*0.04228))/3),0), IF((AND(J6="not enrolled", L6&lt;&gt;"not enrolled", N6&lt;&gt;"not enrolled")), ROUND(((F22-(F22*0.04228))/2),0), IF((AND(J6="not enrolled", L6="not enrolled", N6&lt;&gt;"not enrolled")), ROUND(((F22-(F22*0.04228))/1),0), 0)))</f>
        <v>0</v>
      </c>
      <c r="O22" s="10"/>
    </row>
    <row r="23" spans="2:15" ht="21.75" customHeight="1" x14ac:dyDescent="0.25">
      <c r="B23" s="70" t="s">
        <v>22</v>
      </c>
      <c r="C23" s="70"/>
      <c r="D23" s="70"/>
      <c r="E23" s="70"/>
      <c r="F23" s="70"/>
      <c r="H23" s="16"/>
      <c r="J23" s="5">
        <f>IF((AND(J6&lt;&gt;"not enrolled", L6&lt;&gt;"not enrolled", N6&lt;&gt;"not enrolled")), (H23/3), IF((AND(J6&lt;&gt;"not enrolled", L6&lt;&gt;"not enrolled", N6="not enrolled")), (H23/2), IF((AND(J6&lt;&gt;"not enrolled", L6="not enrolled", N6="not enrolled")), (H23/1), 0)))</f>
        <v>0</v>
      </c>
      <c r="L23" s="5">
        <f>IF((AND(J6&lt;&gt;"not enrolled", L6&lt;&gt;"not enrolled", N6&lt;&gt;"not enrolled")), (H23/3), IF((AND(J6&lt;&gt;"not enrolled", L6&lt;&gt;"not enrolled", N6="not enrolled")), (H23/2), IF((AND(J6="not enrolled", L6&lt;&gt;"not enrolled", N6&lt;&gt;"not enrolled")), (H23/2), 0)))</f>
        <v>0</v>
      </c>
      <c r="N23" s="5">
        <f>IF((AND(J6&lt;&gt;"not enrolled", L6&lt;&gt;"not enrolled", N6&lt;&gt;"not enrolled")), (H23/3), IF((AND(J6="not enrolled", L6&lt;&gt;"not enrolled", N6&lt;&gt;"not enrolled")), (H23/2), IF((AND(J6="not enrolled", L6="not enrolled", N6&lt;&gt;"not enrolled")), (H23), 0)))</f>
        <v>0</v>
      </c>
    </row>
    <row r="24" spans="2:15" ht="21.75" customHeight="1" x14ac:dyDescent="0.25">
      <c r="B24" s="71" t="s">
        <v>23</v>
      </c>
      <c r="C24" s="71"/>
      <c r="D24" s="71"/>
      <c r="E24" s="71"/>
      <c r="F24" s="71"/>
      <c r="G24" s="71"/>
      <c r="H24" s="26">
        <f>J24+L24+N24</f>
        <v>0</v>
      </c>
      <c r="I24" s="25"/>
      <c r="J24" s="18"/>
      <c r="K24" s="25"/>
      <c r="L24" s="18"/>
      <c r="M24" s="32"/>
      <c r="N24" s="49"/>
      <c r="O24" s="25"/>
    </row>
    <row r="25" spans="2:15" ht="21.75" customHeight="1" x14ac:dyDescent="0.25">
      <c r="D25" s="7" t="s">
        <v>10</v>
      </c>
      <c r="H25" s="5">
        <f>SUM(H19:H24)</f>
        <v>0</v>
      </c>
      <c r="J25" s="5">
        <f>SUM(J19:J24)</f>
        <v>0</v>
      </c>
      <c r="L25" s="5">
        <f>SUM(L19:L23,L24)</f>
        <v>0</v>
      </c>
      <c r="N25" s="5">
        <f>SUM(N19:N23,N24)</f>
        <v>0</v>
      </c>
    </row>
    <row r="26" spans="2:15" ht="15.75" thickBot="1" x14ac:dyDescent="0.3"/>
    <row r="27" spans="2:15" ht="21.75" customHeight="1" thickTop="1" thickBot="1" x14ac:dyDescent="0.35">
      <c r="B27" s="14" t="s">
        <v>12</v>
      </c>
      <c r="C27" s="14"/>
      <c r="D27" s="13"/>
      <c r="E27" s="13"/>
      <c r="F27" s="13"/>
      <c r="G27" s="13"/>
      <c r="H27" s="23">
        <f>H16-H25</f>
        <v>0</v>
      </c>
      <c r="I27" s="24"/>
      <c r="J27" s="23">
        <f>J16-J25</f>
        <v>0</v>
      </c>
      <c r="K27" s="24"/>
      <c r="L27" s="23">
        <f>L16-L25</f>
        <v>0</v>
      </c>
      <c r="M27" s="23"/>
      <c r="N27" s="23">
        <f>N16-N25</f>
        <v>0</v>
      </c>
      <c r="O27" s="13"/>
    </row>
    <row r="28" spans="2:15" ht="15.75" thickTop="1" x14ac:dyDescent="0.25"/>
    <row r="29" spans="2:15" x14ac:dyDescent="0.25">
      <c r="B29" s="7" t="s">
        <v>13</v>
      </c>
      <c r="C29" s="7"/>
    </row>
    <row r="30" spans="2:15" ht="21.75" customHeight="1" x14ac:dyDescent="0.25">
      <c r="B30" s="48">
        <v>1</v>
      </c>
      <c r="C30" t="s">
        <v>97</v>
      </c>
      <c r="D30" s="47"/>
      <c r="E30" s="47"/>
      <c r="F30" s="47"/>
      <c r="G30" s="47"/>
      <c r="H30" s="47"/>
      <c r="I30" s="47"/>
      <c r="J30" s="47"/>
      <c r="K30" s="47"/>
      <c r="L30" s="47"/>
      <c r="M30" s="47"/>
      <c r="N30" s="47"/>
      <c r="O30" s="47"/>
    </row>
    <row r="31" spans="2:15" ht="18" customHeight="1" x14ac:dyDescent="0.25">
      <c r="B31" s="46">
        <v>2</v>
      </c>
      <c r="C31" t="s">
        <v>46</v>
      </c>
      <c r="H31"/>
      <c r="J31"/>
      <c r="L31"/>
      <c r="M31"/>
      <c r="N31"/>
    </row>
    <row r="32" spans="2:15" ht="32.25" customHeight="1" x14ac:dyDescent="0.25">
      <c r="B32" s="45">
        <v>3</v>
      </c>
      <c r="C32" s="72" t="s">
        <v>98</v>
      </c>
      <c r="D32" s="72"/>
      <c r="E32" s="72"/>
      <c r="F32" s="72"/>
      <c r="G32" s="72"/>
      <c r="H32" s="72"/>
      <c r="I32" s="72"/>
      <c r="J32" s="72"/>
      <c r="K32" s="72"/>
      <c r="L32" s="72"/>
      <c r="M32" s="72"/>
      <c r="N32" s="72"/>
      <c r="O32" s="72"/>
    </row>
    <row r="33" spans="2:15" ht="30.75" customHeight="1" x14ac:dyDescent="0.25">
      <c r="B33" s="45">
        <v>4</v>
      </c>
      <c r="C33" s="72" t="s">
        <v>73</v>
      </c>
      <c r="D33" s="72"/>
      <c r="E33" s="72"/>
      <c r="F33" s="72"/>
      <c r="G33" s="72"/>
      <c r="H33" s="72"/>
      <c r="I33" s="72"/>
      <c r="J33" s="72"/>
      <c r="K33" s="72"/>
      <c r="L33" s="72"/>
      <c r="M33" s="72"/>
      <c r="N33" s="72"/>
      <c r="O33" s="72"/>
    </row>
    <row r="34" spans="2:15" ht="48" customHeight="1" x14ac:dyDescent="0.25">
      <c r="B34" s="45">
        <v>5</v>
      </c>
      <c r="C34" s="72" t="s">
        <v>62</v>
      </c>
      <c r="D34" s="72"/>
      <c r="E34" s="72"/>
      <c r="F34" s="72"/>
      <c r="G34" s="72"/>
      <c r="H34" s="72"/>
      <c r="I34" s="72"/>
      <c r="J34" s="72"/>
      <c r="K34" s="72"/>
      <c r="L34" s="72"/>
      <c r="M34" s="72"/>
      <c r="N34" s="72"/>
      <c r="O34" s="72"/>
    </row>
    <row r="35" spans="2:15" ht="21.75" customHeight="1" x14ac:dyDescent="0.25"/>
    <row r="37" spans="2:15" x14ac:dyDescent="0.25">
      <c r="B37" s="60" t="s">
        <v>14</v>
      </c>
      <c r="C37" s="60"/>
      <c r="D37" s="60"/>
      <c r="E37" s="60"/>
      <c r="F37" s="60"/>
      <c r="G37" s="60"/>
      <c r="H37" s="60"/>
      <c r="I37" s="60"/>
      <c r="J37" s="60"/>
      <c r="K37" s="60"/>
      <c r="L37" s="60"/>
      <c r="M37" s="60"/>
      <c r="N37" s="60"/>
      <c r="O37" s="60"/>
    </row>
  </sheetData>
  <sheetProtection algorithmName="SHA-512" hashValue="rz8e/pdkUqJciLVSaYpu+UFfJgoewO7P530W2UI7wNL4I+xszPru2wIGjrADcfozQle2jlof812CUl/nigyt1A==" saltValue="UMZeTksU9YKtPeMK75tJSg==" spinCount="100000" sheet="1" objects="1" scenarios="1" selectLockedCells="1"/>
  <mergeCells count="11">
    <mergeCell ref="B24:G24"/>
    <mergeCell ref="C32:O32"/>
    <mergeCell ref="C33:O33"/>
    <mergeCell ref="C34:O34"/>
    <mergeCell ref="B37:O37"/>
    <mergeCell ref="B23:F23"/>
    <mergeCell ref="H2:O2"/>
    <mergeCell ref="C4:O4"/>
    <mergeCell ref="D10:E10"/>
    <mergeCell ref="B14:E14"/>
    <mergeCell ref="B15:E15"/>
  </mergeCells>
  <hyperlinks>
    <hyperlink ref="B14" r:id="rId1" display="Will you enroll in DU's health insurance plan?" xr:uid="{44A4A07C-E200-45B9-9BC2-DCF9E7113E55}"/>
    <hyperlink ref="B15" r:id="rId2" display="Will you use DU Health &amp; Counseling Services? " xr:uid="{1E94A461-386E-4779-A7D7-89A9A2901E16}"/>
  </hyperlinks>
  <pageMargins left="0.5" right="0.5" top="0.5" bottom="0.5" header="0.3" footer="0.3"/>
  <pageSetup scale="73"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64663C6-4A70-4F85-8710-0EA65897D775}">
          <x14:formula1>
            <xm:f>Data!$A$25:$A$26</xm:f>
          </x14:formula1>
          <xm:sqref>F14</xm:sqref>
        </x14:dataValidation>
        <x14:dataValidation type="list" allowBlank="1" showInputMessage="1" showErrorMessage="1" xr:uid="{0F05F1AD-23EB-49B6-8B2F-7AD6412340E8}">
          <x14:formula1>
            <xm:f>Data!$A$2:$A$22</xm:f>
          </x14:formula1>
          <xm:sqref>N6 J6 L6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O34"/>
  <sheetViews>
    <sheetView showGridLines="0" showRowColHeaders="0" showRuler="0" zoomScaleNormal="100" workbookViewId="0">
      <selection activeCell="I8" sqref="I8"/>
    </sheetView>
  </sheetViews>
  <sheetFormatPr defaultColWidth="8.85546875" defaultRowHeight="15" x14ac:dyDescent="0.25"/>
  <cols>
    <col min="1" max="1" width="4.140625" customWidth="1"/>
    <col min="4" max="4" width="14" customWidth="1"/>
    <col min="5" max="5" width="13.85546875" customWidth="1"/>
    <col min="6" max="6" width="4.28515625" customWidth="1"/>
    <col min="7" max="7" width="15" style="5" customWidth="1"/>
    <col min="8" max="8" width="2.85546875" customWidth="1"/>
    <col min="9" max="9" width="15" style="5" customWidth="1"/>
    <col min="10" max="10" width="2.85546875" customWidth="1"/>
    <col min="11" max="11" width="15" style="5" customWidth="1"/>
    <col min="12" max="12" width="2.85546875" style="5" customWidth="1"/>
    <col min="13" max="13" width="15" style="5" customWidth="1"/>
    <col min="14" max="14" width="2.85546875" style="5" customWidth="1"/>
    <col min="15" max="15" width="15" style="5" customWidth="1"/>
  </cols>
  <sheetData>
    <row r="1" spans="2:15" ht="17.25" customHeight="1" x14ac:dyDescent="0.25"/>
    <row r="2" spans="2:15" ht="47.25" customHeight="1" x14ac:dyDescent="0.35">
      <c r="G2" s="61" t="s">
        <v>100</v>
      </c>
      <c r="H2" s="61"/>
      <c r="I2" s="61"/>
      <c r="J2" s="61"/>
      <c r="K2" s="61"/>
      <c r="L2" s="61"/>
      <c r="M2" s="61"/>
      <c r="N2" s="61"/>
      <c r="O2" s="61"/>
    </row>
    <row r="3" spans="2:15" ht="8.25" customHeight="1" x14ac:dyDescent="0.25">
      <c r="B3" s="19"/>
      <c r="C3" s="19"/>
      <c r="D3" s="19"/>
      <c r="E3" s="19"/>
      <c r="F3" s="19"/>
      <c r="G3" s="20"/>
      <c r="H3" s="21"/>
      <c r="I3" s="21"/>
      <c r="J3" s="21"/>
      <c r="K3" s="21"/>
      <c r="L3" s="21"/>
      <c r="M3" s="21"/>
      <c r="N3" s="21"/>
      <c r="O3" s="21"/>
    </row>
    <row r="4" spans="2:15" ht="9.75" customHeight="1" x14ac:dyDescent="0.25"/>
    <row r="5" spans="2:15" ht="18" customHeight="1" x14ac:dyDescent="0.25">
      <c r="B5" s="63" t="s">
        <v>48</v>
      </c>
      <c r="C5" s="63"/>
      <c r="D5" s="63"/>
      <c r="E5" s="63"/>
      <c r="F5" s="63"/>
      <c r="G5" s="63"/>
      <c r="H5" s="63"/>
      <c r="I5" s="63"/>
      <c r="J5" s="63"/>
      <c r="K5" s="63"/>
      <c r="L5" s="63"/>
      <c r="M5" s="63"/>
      <c r="N5" s="63"/>
    </row>
    <row r="6" spans="2:15" ht="9.75" customHeight="1" x14ac:dyDescent="0.25"/>
    <row r="7" spans="2:15" ht="15" customHeight="1" x14ac:dyDescent="0.25">
      <c r="I7" s="53" t="s">
        <v>83</v>
      </c>
      <c r="K7" s="53" t="s">
        <v>84</v>
      </c>
      <c r="L7" s="33"/>
      <c r="M7" s="53" t="s">
        <v>85</v>
      </c>
      <c r="N7" s="33"/>
      <c r="O7" s="53" t="s">
        <v>101</v>
      </c>
    </row>
    <row r="8" spans="2:15" ht="18" customHeight="1" x14ac:dyDescent="0.3">
      <c r="C8" s="6" t="s">
        <v>42</v>
      </c>
      <c r="E8" s="27"/>
      <c r="F8" s="27"/>
      <c r="G8" s="27"/>
      <c r="H8" s="27"/>
      <c r="I8" s="50" t="s">
        <v>70</v>
      </c>
      <c r="K8" s="51" t="s">
        <v>70</v>
      </c>
      <c r="L8"/>
      <c r="M8" s="52" t="s">
        <v>70</v>
      </c>
      <c r="N8"/>
      <c r="O8" s="52" t="s">
        <v>70</v>
      </c>
    </row>
    <row r="9" spans="2:15" ht="18.75" customHeight="1" x14ac:dyDescent="0.25"/>
    <row r="10" spans="2:15" ht="15.75" thickBot="1" x14ac:dyDescent="0.3">
      <c r="B10" s="1" t="s">
        <v>7</v>
      </c>
      <c r="C10" s="2"/>
      <c r="D10" s="2"/>
      <c r="E10" s="2"/>
      <c r="F10" s="2"/>
      <c r="G10" s="4" t="s">
        <v>3</v>
      </c>
      <c r="H10" s="3"/>
      <c r="I10" s="4" t="s">
        <v>86</v>
      </c>
      <c r="J10" s="3"/>
      <c r="K10" s="4" t="s">
        <v>87</v>
      </c>
      <c r="L10" s="4"/>
      <c r="M10" s="4" t="s">
        <v>88</v>
      </c>
      <c r="N10" s="4"/>
      <c r="O10" s="4" t="s">
        <v>102</v>
      </c>
    </row>
    <row r="11" spans="2:15" ht="9" customHeight="1" x14ac:dyDescent="0.25"/>
    <row r="12" spans="2:15" ht="21.75" customHeight="1" x14ac:dyDescent="0.25">
      <c r="B12" s="9" t="s">
        <v>1</v>
      </c>
      <c r="C12" s="66"/>
      <c r="D12" s="66"/>
      <c r="E12" s="10"/>
      <c r="F12" s="10"/>
      <c r="G12" s="11">
        <f>I12+K12+M12+O12</f>
        <v>0</v>
      </c>
      <c r="H12" s="10"/>
      <c r="I12" s="11">
        <f>VLOOKUP(I8,Data!A2:G22,5,FALSE)</f>
        <v>0</v>
      </c>
      <c r="J12" s="10"/>
      <c r="K12" s="11">
        <f>VLOOKUP(K8,Data!A2:G22,5,FALSE)</f>
        <v>0</v>
      </c>
      <c r="L12" s="11"/>
      <c r="M12" s="11">
        <f>VLOOKUP(M8,Data!A2:G22,5,FALSE)</f>
        <v>0</v>
      </c>
      <c r="N12" s="11"/>
      <c r="O12" s="11">
        <f>VLOOKUP(O8,Data!A2:G22,5,FALSE)</f>
        <v>0</v>
      </c>
    </row>
    <row r="13" spans="2:15" ht="21.75" customHeight="1" x14ac:dyDescent="0.25">
      <c r="B13" s="34" t="s">
        <v>2</v>
      </c>
      <c r="G13" s="35">
        <f>I13+K13+M13+O13</f>
        <v>0</v>
      </c>
      <c r="I13" s="35">
        <f>VLOOKUP(I8,Data!A2:G22,7,FALSE)</f>
        <v>0</v>
      </c>
      <c r="K13" s="35">
        <f>VLOOKUP(K8,Data!A2:G22,7,FALSE)</f>
        <v>0</v>
      </c>
      <c r="L13" s="35"/>
      <c r="M13" s="35">
        <f>VLOOKUP(M8,Data!A2:G22,7,FALSE)</f>
        <v>0</v>
      </c>
      <c r="N13" s="35"/>
      <c r="O13" s="35">
        <f>VLOOKUP(O8,Data!A2:G22,7,FALSE)</f>
        <v>0</v>
      </c>
    </row>
    <row r="14" spans="2:15" ht="21.75" customHeight="1" x14ac:dyDescent="0.25">
      <c r="B14" s="19"/>
      <c r="C14" s="37" t="s">
        <v>6</v>
      </c>
      <c r="D14" s="19"/>
      <c r="E14" s="19"/>
      <c r="F14" s="19"/>
      <c r="G14" s="38">
        <f>SUM(G12:G13)</f>
        <v>0</v>
      </c>
      <c r="H14" s="19"/>
      <c r="I14" s="38">
        <f>SUM(I12:I13)</f>
        <v>0</v>
      </c>
      <c r="J14" s="19"/>
      <c r="K14" s="38">
        <f>SUM(K12:K13)</f>
        <v>0</v>
      </c>
      <c r="L14" s="38"/>
      <c r="M14" s="38">
        <f>SUM(M12:M13)</f>
        <v>0</v>
      </c>
      <c r="N14" s="38"/>
      <c r="O14" s="38">
        <f>SUM(O12:O13)</f>
        <v>0</v>
      </c>
    </row>
    <row r="15" spans="2:15" ht="24" customHeight="1" x14ac:dyDescent="0.25"/>
    <row r="16" spans="2:15" ht="15.75" thickBot="1" x14ac:dyDescent="0.3">
      <c r="B16" s="1" t="s">
        <v>11</v>
      </c>
      <c r="C16" s="2"/>
      <c r="D16" s="2"/>
      <c r="E16" s="2"/>
      <c r="F16" s="2"/>
      <c r="G16" s="4" t="s">
        <v>3</v>
      </c>
      <c r="H16" s="3"/>
      <c r="I16" s="4" t="s">
        <v>86</v>
      </c>
      <c r="J16" s="3"/>
      <c r="K16" s="4" t="s">
        <v>87</v>
      </c>
      <c r="L16" s="4"/>
      <c r="M16" s="4" t="s">
        <v>88</v>
      </c>
      <c r="N16" s="4"/>
      <c r="O16" s="4" t="s">
        <v>102</v>
      </c>
    </row>
    <row r="17" spans="2:15" ht="21.75" customHeight="1" x14ac:dyDescent="0.25">
      <c r="B17" t="s">
        <v>16</v>
      </c>
      <c r="G17" s="15"/>
      <c r="I17" s="5">
        <f>IF((AND(I8&lt;&gt;"not enrolled",K8&lt;&gt;"not enrolled",M8&lt;&gt;"not enrolled",O8&lt;&gt;"not enrolled")),(G17/4), IF((AND(I8&lt;&gt;"not enrolled",K8&lt;&gt;"not enrolled",M8&lt;&gt;"not enrolled",O8="not enrolled")),(G17/3), IF((AND(I8&lt;&gt;"not enrolled",K8&lt;&gt;"not enrolled",M8="not enrolled",O8="not enrolled")),(G17/2), IF((AND(I8&lt;&gt;"not enrolled",K8="not enrolled",M8="not enrolled",O8="not enrolled")),(G17/1), 0))))</f>
        <v>0</v>
      </c>
      <c r="K17" s="5">
        <f>IF((AND(I8&lt;&gt;"not enrolled",K8&lt;&gt;"not enrolled",M8&lt;&gt;"not enrolled",O8&lt;&gt;"not enrolled")),(G17/4), IF((AND(I8&lt;&gt;"not enrolled",K8&lt;&gt;"not enrolled",M8&lt;&gt;"not enrolled",O8="not enrolled")),(G17/3), IF((AND(I8="not enrolled",K8&lt;&gt;"not enrolled",M8&lt;&gt;"not enrolled",O8&lt;&gt;"not enrolled")),(G17/3), IF((AND(I8&lt;&gt;"not enrolled",K8&lt;&gt;"not enrolled",M8="not enrolled",O8="not enrolled")),(G17/2), 0))))</f>
        <v>0</v>
      </c>
      <c r="M17" s="5">
        <f>IF((AND(I8&lt;&gt;"not enrolled",K8&lt;&gt;"not enrolled",M8&lt;&gt;"not enrolled",O8&lt;&gt;"not enrolled")),(G17/4), IF((AND(I8&lt;&gt;"not enrolled",K8&lt;&gt;"not enrolled",M8&lt;&gt;"not enrolled",O8="not enrolled")),(G17/3), IF((AND(I8="not enrolled",K8&lt;&gt;"not enrolled",M8&lt;&gt;"not enrolled",O8&lt;&gt;"not enrolled")),(G17/3), IF((AND(I8="not enrolled",K8="not enrolled",M8&lt;&gt;"not enrolled",O8&lt;&gt;"not enrolled")),(G17/2), 0))))</f>
        <v>0</v>
      </c>
      <c r="O17" s="5">
        <f>IF((AND(I8&lt;&gt;"not enrolled",K8&lt;&gt;"not enrolled",M8&lt;&gt;"not enrolled",O8&lt;&gt;"not enrolled")),(G17/4), IF((AND(I8="not enrolled",K8&lt;&gt;"not enrolled",M8&lt;&gt;"not enrolled",O8&lt;&gt;"not enrolled")),(G17/3), IF((AND(I8="not enrolled",K8="not enrolled",M8&lt;&gt;"not enrolled",O8&lt;&gt;"not enrolled")),(G17/2),  IF((AND(I8="not enrolled",K8="not enrolled",M8="not enrolled",O8&lt;&gt;"not enrolled")),(G17), 0))))</f>
        <v>0</v>
      </c>
    </row>
    <row r="18" spans="2:15" ht="21.75" customHeight="1" x14ac:dyDescent="0.25">
      <c r="B18" s="10" t="s">
        <v>8</v>
      </c>
      <c r="C18" s="10"/>
      <c r="D18" s="10"/>
      <c r="E18" s="10"/>
      <c r="F18" s="10"/>
      <c r="G18" s="16"/>
      <c r="H18" s="10"/>
      <c r="I18" s="11">
        <f>IF((AND(I8&lt;&gt;"not enrolled",K8&lt;&gt;"not enrolled",M8&lt;&gt;"not enrolled",O8&lt;&gt;"not enrolled")),(G18/4), IF((AND(I8&lt;&gt;"not enrolled",K8&lt;&gt;"not enrolled",M8&lt;&gt;"not enrolled",O8="not enrolled")),(G18/3), IF((AND(I8&lt;&gt;"not enrolled",K8&lt;&gt;"not enrolled",M8="not enrolled",O8="not enrolled")),(G18/2), IF((AND(I8&lt;&gt;"not enrolled",K8="not enrolled",M8="not enrolled",O8="not enrolled")),(G18/1), 0))))</f>
        <v>0</v>
      </c>
      <c r="J18" s="10"/>
      <c r="K18" s="11">
        <f>IF((AND(I8&lt;&gt;"not enrolled",K8&lt;&gt;"not enrolled",M8&lt;&gt;"not enrolled",O8&lt;&gt;"not enrolled")),(G18/4), IF((AND(I8&lt;&gt;"not enrolled",K8&lt;&gt;"not enrolled",M8&lt;&gt;"not enrolled",O8="not enrolled")),(G18/3), IF((AND(I8="not enrolled",K8&lt;&gt;"not enrolled",M8&lt;&gt;"not enrolled",O8&lt;&gt;"not enrolled")),(G18/3), IF((AND(I8&lt;&gt;"not enrolled",K8&lt;&gt;"not enrolled",M8="not enrolled",O8="not enrolled")),(G18/2), 0))))</f>
        <v>0</v>
      </c>
      <c r="L18" s="11"/>
      <c r="M18" s="11">
        <f>IF((AND(I8&lt;&gt;"not enrolled",K8&lt;&gt;"not enrolled",M8&lt;&gt;"not enrolled",O8&lt;&gt;"not enrolled")),(G18/4), IF((AND(I8&lt;&gt;"not enrolled",K8&lt;&gt;"not enrolled",M8&lt;&gt;"not enrolled",O8="not enrolled")),(G18/3), IF((AND(I8="not enrolled",K8&lt;&gt;"not enrolled",M8&lt;&gt;"not enrolled",O8&lt;&gt;"not enrolled")),(G18/3), IF((AND(I8="not enrolled",K8="not enrolled",M8&lt;&gt;"not enrolled",O8&lt;&gt;"not enrolled")),(G18/2), 0))))</f>
        <v>0</v>
      </c>
      <c r="N18" s="11"/>
      <c r="O18" s="11">
        <f>IF((AND(I8&lt;&gt;"not enrolled",K8&lt;&gt;"not enrolled",M8&lt;&gt;"not enrolled",O8&lt;&gt;"not enrolled")),(G18/4), IF((AND(I8="not enrolled",K8&lt;&gt;"not enrolled",M8&lt;&gt;"not enrolled",O8&lt;&gt;"not enrolled")),(G18/3), IF((AND(I8="not enrolled",K8="not enrolled",M8&lt;&gt;"not enrolled",O8&lt;&gt;"not enrolled")),(G18/2),  IF((AND(I8="not enrolled",K8="not enrolled",M8="not enrolled",O8&lt;&gt;"not enrolled")),(G18), 0))))</f>
        <v>0</v>
      </c>
    </row>
    <row r="19" spans="2:15" ht="21.75" customHeight="1" x14ac:dyDescent="0.25">
      <c r="B19" t="s">
        <v>19</v>
      </c>
      <c r="E19" s="17"/>
      <c r="G19" s="5">
        <f>SUM(I19,K19,M19,O19)</f>
        <v>0</v>
      </c>
      <c r="I19" s="5">
        <f>IF((AND(I8&lt;&gt;"not enrolled",K8&lt;&gt;"not enrolled",M8&lt;&gt;"not enrolled",O8&lt;&gt;"not enrolled")),ROUND(((E19-(E19*0.01057))/4),0), IF((AND(I8&lt;&gt;"not enrolled",K8&lt;&gt;"not enrolled",M8&lt;&gt;"not enrolled",O8="not enrolled")),ROUND(((E19-(E19*0.01057))/3),0), IF((AND(I8&lt;&gt;"not enrolled",K8&lt;&gt;"not enrolled",M8="not enrolled",O8="not enrolled")),ROUND(((E19-(E19*0.01057))/2),0), IF((AND(I8&lt;&gt;"not enrolled",K8="not enrolled",M8="not enrolled",O8="not enrolled")),ROUND(((E19-(E19*0.01057))/1),0), 0))))</f>
        <v>0</v>
      </c>
      <c r="K19" s="5">
        <f>IF((AND(I8&lt;&gt;"not enrolled",K8&lt;&gt;"not enrolled",M8&lt;&gt;"not enrolled",O8&lt;&gt;"not enrolled")),ROUND(((E19-(E19*0.01057))/4),0), IF((AND(I8&lt;&gt;"not enrolled",K8&lt;&gt;"not enrolled",M8&lt;&gt;"not enrolled",O8="not enrolled")),ROUND(((E19-(E19*0.01057))/3),0), IF((AND(I8="not enrolled",K8&lt;&gt;"not enrolled",M8&lt;&gt;"not enrolled",O8&lt;&gt;"not enrolled")),ROUND(((E19-(E19*0.01057))/3),0), IF((AND(I8&lt;&gt;"not enrolled",K8&lt;&gt;"not enrolled",M8="not enrolled",O8="not enrolled")),ROUND(((E19-(E19*0.01057))/2),0), 0))))</f>
        <v>0</v>
      </c>
      <c r="M19" s="5">
        <f>IF((AND(I8&lt;&gt;"not enrolled",K8&lt;&gt;"not enrolled",M8&lt;&gt;"not enrolled",O8&lt;&gt;"not enrolled")),ROUND(((E19-(E19*0.01057))/4),0), IF((AND(I8&lt;&gt;"not enrolled",K8&lt;&gt;"not enrolled",M8&lt;&gt;"not enrolled",O8="not enrolled")),ROUND(((E19-(E19*0.01057))/3),0), IF((AND(I8="not enrolled",K8&lt;&gt;"not enrolled",M8&lt;&gt;"not enrolled",O8&lt;&gt;"not enrolled")),ROUND(((E19-(E19*0.01057))/3),0), IF((AND(I8="not enrolled",K8="not enrolled",M8&lt;&gt;"not enrolled",O8&lt;&gt;"not enrolled")),ROUND(((E19-(E19*0.01057))/2),0), 0))))</f>
        <v>0</v>
      </c>
      <c r="O19" s="5">
        <f>IF((AND(I8&lt;&gt;"not enrolled",K8&lt;&gt;"not enrolled",M8&lt;&gt;"not enrolled",O8&lt;&gt;"not enrolled")),ROUND(((E19-(E19*0.01057))/4),0), IF((AND(I8="not enrolled",K8&lt;&gt;"not enrolled",M8&lt;&gt;"not enrolled",O8&lt;&gt;"not enrolled")),ROUND(((E19-(E19*0.01057))/3),0), IF((AND(I8="not enrolled",K8="not enrolled",M8&lt;&gt;"not enrolled",O8&lt;&gt;"not enrolled")),ROUND(((E19-(E19*0.01057))/2),0),  IF((AND(I8="not enrolled",K8="not enrolled",M8="not enrolled",O8&lt;&gt;"not enrolled")),ROUND(((E19-(E19*0.01057))/1),0), 0))))</f>
        <v>0</v>
      </c>
    </row>
    <row r="20" spans="2:15" ht="21.75" customHeight="1" x14ac:dyDescent="0.25">
      <c r="B20" s="10" t="s">
        <v>20</v>
      </c>
      <c r="C20" s="10"/>
      <c r="D20" s="10"/>
      <c r="E20" s="17"/>
      <c r="F20" s="10"/>
      <c r="G20" s="11">
        <f>SUM(I20,K20,M20,O20)</f>
        <v>0</v>
      </c>
      <c r="H20" s="10"/>
      <c r="I20" s="11">
        <f>IF((AND(I8&lt;&gt;"not enrolled",K8&lt;&gt;"not enrolled",M8&lt;&gt;"not enrolled",O8&lt;&gt;"not enrolled")),ROUND(((E20-(E20*0.04228))/4),0), IF((AND(I8&lt;&gt;"not enrolled",K8&lt;&gt;"not enrolled",M8&lt;&gt;"not enrolled",O8="not enrolled")),ROUND(((E20-(E20*0.04228))/3),0), IF((AND(I8&lt;&gt;"not enrolled",K8&lt;&gt;"not enrolled",M8="not enrolled",O8="not enrolled")),ROUND(((E20-(E20*0.04228))/2),0), IF((AND(I8&lt;&gt;"not enrolled",K8="not enrolled",M8="not enrolled",O8="not enrolled")),ROUND(((E20-(E20*0.04228))/1),0), 0))))</f>
        <v>0</v>
      </c>
      <c r="J20" s="10"/>
      <c r="K20" s="11">
        <f>IF((AND(I8&lt;&gt;"not enrolled",K8&lt;&gt;"not enrolled",M8&lt;&gt;"not enrolled",O8&lt;&gt;"not enrolled")),ROUND(((E20-(E20*0.04228))/4),0), IF((AND(I8&lt;&gt;"not enrolled",K8&lt;&gt;"not enrolled",M8&lt;&gt;"not enrolled",O8="not enrolled")),ROUND(((E20-(E20*0.04228))/3),0), IF((AND(I8="not enrolled",K8&lt;&gt;"not enrolled",M8&lt;&gt;"not enrolled",O8&lt;&gt;"not enrolled")),ROUND(((E20-(E20*0.04228))/3),0), IF((AND(I8&lt;&gt;"not enrolled",K8&lt;&gt;"not enrolled",M8="not enrolled",O8="not enrolled")),ROUND(((E20-(E20*0.04228))/2),0), 0))))</f>
        <v>0</v>
      </c>
      <c r="L20" s="11"/>
      <c r="M20" s="11">
        <f>IF((AND(I8&lt;&gt;"not enrolled",K8&lt;&gt;"not enrolled",M8&lt;&gt;"not enrolled",O8&lt;&gt;"not enrolled")),ROUND(((E20-(E20*0.04228))/4),0), IF((AND(I8&lt;&gt;"not enrolled",K8&lt;&gt;"not enrolled",M8&lt;&gt;"not enrolled",O8="not enrolled")),ROUND(((E20-(E20*0.0428))/3),0), IF((AND(I8="not enrolled",K8&lt;&gt;"not enrolled",M8&lt;&gt;"not enrolled",O8&lt;&gt;"not enrolled")),ROUND(((E20-(E20*0.04228))/3),0), IF((AND(I8="not enrolled",K8="not enrolled",M8&lt;&gt;"not enrolled",O8&lt;&gt;"not enrolled")),ROUND(((E20-(E20*0.04228))/2),0), 0))))</f>
        <v>0</v>
      </c>
      <c r="N20" s="11"/>
      <c r="O20" s="11">
        <f>IF((AND(I8&lt;&gt;"not enrolled",K8&lt;&gt;"not enrolled",M8&lt;&gt;"not enrolled",O8&lt;&gt;"not enrolled")),ROUND(((E20-(E20*0.04228))/4),0), IF((AND(I8="not enrolled",K8&lt;&gt;"not enrolled",M8&lt;&gt;"not enrolled",O8&lt;&gt;"not enrolled")),ROUND(((E20-(E20*0.04228))/3),0), IF((AND(I8="not enrolled",K8="not enrolled",M8&lt;&gt;"not enrolled",O8&lt;&gt;"not enrolled")),ROUND(((E20-(E20*0.04228))/2),0),  IF((AND(I8="not enrolled",K8="not enrolled",M8="not enrolled",O8&lt;&gt;"not enrolled")),ROUND(((E20-(E20*0.04228))/1),0), 0))))</f>
        <v>0</v>
      </c>
    </row>
    <row r="21" spans="2:15" ht="21.75" customHeight="1" x14ac:dyDescent="0.25">
      <c r="B21" t="s">
        <v>9</v>
      </c>
      <c r="G21" s="16"/>
      <c r="I21" s="5">
        <f>IF((AND(I8&lt;&gt;"not enrolled",K8&lt;&gt;"not enrolled",M8&lt;&gt;"not enrolled",O8&lt;&gt;"not enrolled")),(G21/4), IF((AND(I8&lt;&gt;"not enrolled",K8&lt;&gt;"not enrolled",M8&lt;&gt;"not enrolled",O8="not enrolled")),(G21/3), IF((AND(I8&lt;&gt;"not enrolled",K8&lt;&gt;"not enrolled",M8="not enrolled",O8="not enrolled")),(G21/2), IF((AND(I8&lt;&gt;"not enrolled",K8="not enrolled",M8="not enrolled",O8="not enrolled")),(G21/1), 0))))</f>
        <v>0</v>
      </c>
      <c r="K21" s="5">
        <f>IF((AND(I8&lt;&gt;"not enrolled",K8&lt;&gt;"not enrolled",M8&lt;&gt;"not enrolled",O8&lt;&gt;"not enrolled")),(G21/4), IF((AND(I8&lt;&gt;"not enrolled",K8&lt;&gt;"not enrolled",M8&lt;&gt;"not enrolled",O8="not enrolled")),(G21/3), IF((AND(I8="not enrolled",K8&lt;&gt;"not enrolled",M8&lt;&gt;"not enrolled",O8&lt;&gt;"not enrolled")),(G21/3), IF((AND(I8&lt;&gt;"not enrolled",K8&lt;&gt;"not enrolled",M8="not enrolled",O8="not enrolled")),(G21/2), 0))))</f>
        <v>0</v>
      </c>
      <c r="M21" s="5">
        <f>IF((AND(I8&lt;&gt;"not enrolled",K8&lt;&gt;"not enrolled",M8&lt;&gt;"not enrolled",O8&lt;&gt;"not enrolled")),(G21/4), IF((AND(I8&lt;&gt;"not enrolled",K8&lt;&gt;"not enrolled",M8&lt;&gt;"not enrolled",O8="not enrolled")),(G21/3), IF((AND(I8="not enrolled",K8&lt;&gt;"not enrolled",M8&lt;&gt;"not enrolled",O8&lt;&gt;"not enrolled")),(G21/3), IF((AND(I8="not enrolled",K8="not enrolled",M8&lt;&gt;"not enrolled",O8&lt;&gt;"not enrolled")),(G21/2), 0))))</f>
        <v>0</v>
      </c>
      <c r="O21" s="5">
        <f>IF((AND(I8&lt;&gt;"not enrolled",K8&lt;&gt;"not enrolled",M8&lt;&gt;"not enrolled",O8&lt;&gt;"not enrolled")),(G21/4), IF((AND(I8="not enrolled",K8&lt;&gt;"not enrolled",M8&lt;&gt;"not enrolled",O8&lt;&gt;"not enrolled")),(G21/3), IF((AND(I8="not enrolled",K8="not enrolled",M8&lt;&gt;"not enrolled",O8&lt;&gt;"not enrolled")),(G21/2),  IF((AND(I8="not enrolled",K8="not enrolled",M8="not enrolled",O8&lt;&gt;"not enrolled")),(G21), 0))))</f>
        <v>0</v>
      </c>
    </row>
    <row r="22" spans="2:15" ht="21.75" customHeight="1" x14ac:dyDescent="0.25">
      <c r="B22" s="71" t="s">
        <v>23</v>
      </c>
      <c r="C22" s="71"/>
      <c r="D22" s="71"/>
      <c r="E22" s="71"/>
      <c r="F22" s="71"/>
      <c r="G22" s="26">
        <f>I22+K22+M22+O22</f>
        <v>0</v>
      </c>
      <c r="H22" s="25"/>
      <c r="I22" s="18"/>
      <c r="J22" s="25"/>
      <c r="K22" s="18"/>
      <c r="L22" s="56"/>
      <c r="M22" s="18"/>
      <c r="N22" s="56"/>
      <c r="O22" s="18"/>
    </row>
    <row r="23" spans="2:15" ht="21.75" customHeight="1" x14ac:dyDescent="0.25">
      <c r="C23" s="7" t="s">
        <v>10</v>
      </c>
      <c r="G23" s="5">
        <f>SUM(G17:G22)</f>
        <v>0</v>
      </c>
      <c r="I23" s="5">
        <f>SUM(I17:I22)</f>
        <v>0</v>
      </c>
      <c r="K23" s="5">
        <f>SUM(K17:K22)</f>
        <v>0</v>
      </c>
      <c r="M23" s="5">
        <f>SUM(M17:M22)</f>
        <v>0</v>
      </c>
      <c r="O23" s="5">
        <f>SUM(O17:O22)</f>
        <v>0</v>
      </c>
    </row>
    <row r="24" spans="2:15" ht="15.75" thickBot="1" x14ac:dyDescent="0.3"/>
    <row r="25" spans="2:15" ht="21.75" customHeight="1" thickTop="1" thickBot="1" x14ac:dyDescent="0.35">
      <c r="B25" s="14" t="s">
        <v>12</v>
      </c>
      <c r="C25" s="13"/>
      <c r="D25" s="13"/>
      <c r="E25" s="13"/>
      <c r="F25" s="13"/>
      <c r="G25" s="23">
        <f>G14-G23</f>
        <v>0</v>
      </c>
      <c r="H25" s="24"/>
      <c r="I25" s="23">
        <f>I14-I23</f>
        <v>0</v>
      </c>
      <c r="J25" s="24"/>
      <c r="K25" s="23">
        <f>K14-K23</f>
        <v>0</v>
      </c>
      <c r="L25" s="23"/>
      <c r="M25" s="23">
        <f>M14-M23</f>
        <v>0</v>
      </c>
      <c r="N25" s="23"/>
      <c r="O25" s="23">
        <f>O14-O23</f>
        <v>0</v>
      </c>
    </row>
    <row r="26" spans="2:15" ht="15.75" thickTop="1" x14ac:dyDescent="0.25"/>
    <row r="27" spans="2:15" x14ac:dyDescent="0.25">
      <c r="B27" s="7" t="s">
        <v>13</v>
      </c>
    </row>
    <row r="28" spans="2:15" ht="21" customHeight="1" x14ac:dyDescent="0.25">
      <c r="B28" s="74" t="s">
        <v>103</v>
      </c>
      <c r="C28" s="72"/>
      <c r="D28" s="72"/>
      <c r="E28" s="72"/>
      <c r="F28" s="72"/>
      <c r="G28" s="72"/>
      <c r="H28" s="72"/>
      <c r="I28" s="72"/>
      <c r="J28" s="72"/>
      <c r="K28" s="72"/>
      <c r="L28" s="72"/>
      <c r="M28" s="72"/>
      <c r="N28" s="72"/>
      <c r="O28" s="72"/>
    </row>
    <row r="29" spans="2:15" ht="21.75" customHeight="1" x14ac:dyDescent="0.25">
      <c r="B29" s="70" t="s">
        <v>18</v>
      </c>
      <c r="C29" s="70"/>
      <c r="D29" s="70"/>
      <c r="E29" s="70"/>
      <c r="F29" s="70"/>
      <c r="G29" s="70"/>
      <c r="H29" s="70"/>
      <c r="I29" s="70"/>
      <c r="J29" s="70"/>
      <c r="K29" s="70"/>
      <c r="L29" s="70"/>
      <c r="M29" s="70"/>
      <c r="N29" s="70"/>
      <c r="O29" s="70"/>
    </row>
    <row r="30" spans="2:15" ht="33" customHeight="1" x14ac:dyDescent="0.25">
      <c r="B30" s="72" t="s">
        <v>79</v>
      </c>
      <c r="C30" s="72"/>
      <c r="D30" s="72"/>
      <c r="E30" s="72"/>
      <c r="F30" s="72"/>
      <c r="G30" s="72"/>
      <c r="H30" s="72"/>
      <c r="I30" s="72"/>
      <c r="J30" s="72"/>
      <c r="K30" s="72"/>
      <c r="L30" s="72"/>
      <c r="M30" s="72"/>
      <c r="N30" s="72"/>
      <c r="O30" s="72"/>
    </row>
    <row r="31" spans="2:15" ht="51" customHeight="1" x14ac:dyDescent="0.25">
      <c r="B31" s="72" t="s">
        <v>63</v>
      </c>
      <c r="C31" s="72"/>
      <c r="D31" s="72"/>
      <c r="E31" s="72"/>
      <c r="F31" s="72"/>
      <c r="G31" s="72"/>
      <c r="H31" s="72"/>
      <c r="I31" s="72"/>
      <c r="J31" s="72"/>
      <c r="K31" s="72"/>
      <c r="L31" s="72"/>
      <c r="M31" s="72"/>
      <c r="N31" s="72"/>
      <c r="O31" s="72"/>
    </row>
    <row r="32" spans="2:15" ht="21.75" customHeight="1" x14ac:dyDescent="0.25"/>
    <row r="34" spans="2:15" x14ac:dyDescent="0.25">
      <c r="B34" s="60" t="s">
        <v>14</v>
      </c>
      <c r="C34" s="60"/>
      <c r="D34" s="60"/>
      <c r="E34" s="60"/>
      <c r="F34" s="60"/>
      <c r="G34" s="60"/>
      <c r="H34" s="60"/>
      <c r="I34" s="60"/>
      <c r="J34" s="60"/>
      <c r="K34" s="60"/>
      <c r="L34" s="60"/>
      <c r="M34" s="60"/>
      <c r="N34" s="60"/>
      <c r="O34" s="60"/>
    </row>
  </sheetData>
  <sheetProtection algorithmName="SHA-512" hashValue="V6Jber0S+VdbGAMEhO2pXNVtcR7xZL3imjYX567LPJR/09Sw4zxgGtWpyi5HrWe1jMfK1BEg8HBr2AJSftjMZQ==" saltValue="KuvIV/6lEEvD5X68i+05/A==" spinCount="100000" sheet="1" objects="1" scenarios="1" selectLockedCells="1"/>
  <mergeCells count="9">
    <mergeCell ref="B31:O31"/>
    <mergeCell ref="B34:O34"/>
    <mergeCell ref="G2:O2"/>
    <mergeCell ref="C12:D12"/>
    <mergeCell ref="B22:F22"/>
    <mergeCell ref="B28:O28"/>
    <mergeCell ref="B29:O29"/>
    <mergeCell ref="B5:N5"/>
    <mergeCell ref="B30:O30"/>
  </mergeCells>
  <pageMargins left="0.5" right="0.5" top="0.5" bottom="0.5" header="0.3" footer="0.3"/>
  <pageSetup scale="72"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Data!$A$2:$A$22</xm:f>
          </x14:formula1>
          <xm:sqref>O8 I8 K8 M8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1"/>
  <sheetViews>
    <sheetView workbookViewId="0">
      <selection activeCell="J11" sqref="J11"/>
    </sheetView>
  </sheetViews>
  <sheetFormatPr defaultColWidth="8.85546875" defaultRowHeight="15" x14ac:dyDescent="0.25"/>
  <cols>
    <col min="1" max="1" width="11.140625" customWidth="1"/>
    <col min="2" max="2" width="12.5703125" bestFit="1" customWidth="1"/>
    <col min="4" max="4" width="10.85546875" customWidth="1"/>
    <col min="5" max="5" width="12.140625" bestFit="1" customWidth="1"/>
    <col min="6" max="10" width="11.85546875" customWidth="1"/>
    <col min="11" max="11" width="12" bestFit="1" customWidth="1"/>
    <col min="12" max="13" width="11.85546875" customWidth="1"/>
    <col min="14" max="14" width="13.28515625" customWidth="1"/>
    <col min="16" max="16" width="11.7109375" customWidth="1"/>
  </cols>
  <sheetData>
    <row r="1" spans="1:22" x14ac:dyDescent="0.25">
      <c r="B1" s="7" t="s">
        <v>89</v>
      </c>
      <c r="C1" s="57" t="s">
        <v>92</v>
      </c>
      <c r="D1" s="7" t="s">
        <v>99</v>
      </c>
      <c r="E1" s="54" t="s">
        <v>104</v>
      </c>
      <c r="F1" s="7" t="s">
        <v>96</v>
      </c>
      <c r="G1" s="7" t="s">
        <v>71</v>
      </c>
      <c r="J1" s="54"/>
    </row>
    <row r="2" spans="1:22" x14ac:dyDescent="0.25">
      <c r="A2" t="s">
        <v>70</v>
      </c>
      <c r="D2" s="7"/>
      <c r="F2" s="54"/>
      <c r="J2" s="54"/>
    </row>
    <row r="3" spans="1:22" x14ac:dyDescent="0.25">
      <c r="A3" t="s">
        <v>41</v>
      </c>
      <c r="B3">
        <v>0</v>
      </c>
      <c r="C3">
        <v>0</v>
      </c>
      <c r="D3">
        <v>0</v>
      </c>
      <c r="E3">
        <v>0</v>
      </c>
      <c r="F3">
        <v>0</v>
      </c>
      <c r="G3">
        <v>0</v>
      </c>
      <c r="K3" s="47"/>
      <c r="M3" s="47"/>
      <c r="N3" s="47"/>
      <c r="O3" s="47"/>
      <c r="P3" s="47"/>
      <c r="Q3" s="47"/>
      <c r="R3" s="47"/>
      <c r="S3" s="47"/>
      <c r="T3" s="47"/>
      <c r="U3" s="47"/>
      <c r="V3" s="47"/>
    </row>
    <row r="4" spans="1:22" x14ac:dyDescent="0.25">
      <c r="A4" t="s">
        <v>24</v>
      </c>
      <c r="B4">
        <v>5748</v>
      </c>
      <c r="C4">
        <v>6872</v>
      </c>
      <c r="D4">
        <v>4804</v>
      </c>
      <c r="E4">
        <v>4408</v>
      </c>
      <c r="F4">
        <v>3436</v>
      </c>
      <c r="G4">
        <v>16</v>
      </c>
      <c r="M4" s="47"/>
      <c r="N4" s="47"/>
      <c r="O4" s="47"/>
      <c r="P4" s="47"/>
      <c r="Q4" s="47"/>
      <c r="R4" s="47"/>
      <c r="S4" s="47"/>
      <c r="T4" s="47"/>
      <c r="U4" s="47"/>
      <c r="V4" s="47"/>
    </row>
    <row r="5" spans="1:22" x14ac:dyDescent="0.25">
      <c r="A5" t="s">
        <v>25</v>
      </c>
      <c r="B5">
        <v>7185</v>
      </c>
      <c r="C5">
        <v>8590</v>
      </c>
      <c r="D5">
        <v>6005</v>
      </c>
      <c r="E5">
        <v>5510</v>
      </c>
      <c r="F5">
        <v>4295</v>
      </c>
      <c r="G5">
        <v>20</v>
      </c>
    </row>
    <row r="6" spans="1:22" x14ac:dyDescent="0.25">
      <c r="A6" t="s">
        <v>26</v>
      </c>
      <c r="B6">
        <v>8622</v>
      </c>
      <c r="C6">
        <v>10308</v>
      </c>
      <c r="D6">
        <v>7206</v>
      </c>
      <c r="E6">
        <v>6612</v>
      </c>
      <c r="F6">
        <v>5154</v>
      </c>
      <c r="G6">
        <v>24</v>
      </c>
    </row>
    <row r="7" spans="1:22" x14ac:dyDescent="0.25">
      <c r="A7" t="s">
        <v>27</v>
      </c>
      <c r="B7">
        <v>10059</v>
      </c>
      <c r="C7">
        <v>12026</v>
      </c>
      <c r="D7">
        <v>8407</v>
      </c>
      <c r="E7">
        <v>7714</v>
      </c>
      <c r="F7">
        <v>6013</v>
      </c>
      <c r="G7">
        <v>28</v>
      </c>
    </row>
    <row r="8" spans="1:22" x14ac:dyDescent="0.25">
      <c r="A8" t="s">
        <v>28</v>
      </c>
      <c r="B8">
        <v>11496</v>
      </c>
      <c r="C8">
        <v>13744</v>
      </c>
      <c r="D8">
        <v>9608</v>
      </c>
      <c r="E8">
        <v>8816</v>
      </c>
      <c r="F8">
        <v>6872</v>
      </c>
      <c r="G8">
        <v>32</v>
      </c>
    </row>
    <row r="9" spans="1:22" x14ac:dyDescent="0.25">
      <c r="A9" t="s">
        <v>29</v>
      </c>
      <c r="B9">
        <v>12933</v>
      </c>
      <c r="C9">
        <v>15462</v>
      </c>
      <c r="D9">
        <v>10809</v>
      </c>
      <c r="E9">
        <v>9918</v>
      </c>
      <c r="F9">
        <v>7731</v>
      </c>
      <c r="G9">
        <v>36</v>
      </c>
    </row>
    <row r="10" spans="1:22" x14ac:dyDescent="0.25">
      <c r="A10" t="s">
        <v>30</v>
      </c>
      <c r="B10">
        <v>14370</v>
      </c>
      <c r="C10">
        <v>17180</v>
      </c>
      <c r="D10">
        <v>12010</v>
      </c>
      <c r="E10">
        <v>11020</v>
      </c>
      <c r="F10">
        <v>8590</v>
      </c>
      <c r="G10">
        <v>40</v>
      </c>
    </row>
    <row r="11" spans="1:22" x14ac:dyDescent="0.25">
      <c r="A11" t="s">
        <v>31</v>
      </c>
      <c r="B11">
        <v>15807</v>
      </c>
      <c r="C11">
        <v>18898</v>
      </c>
      <c r="D11">
        <v>13211</v>
      </c>
      <c r="E11">
        <v>12122</v>
      </c>
      <c r="F11">
        <v>9449</v>
      </c>
      <c r="G11">
        <v>44</v>
      </c>
    </row>
    <row r="12" spans="1:22" x14ac:dyDescent="0.25">
      <c r="A12" t="s">
        <v>32</v>
      </c>
      <c r="B12">
        <v>17244</v>
      </c>
      <c r="C12">
        <v>20616</v>
      </c>
      <c r="D12">
        <v>14412</v>
      </c>
      <c r="E12">
        <v>13224</v>
      </c>
      <c r="F12">
        <v>10308</v>
      </c>
      <c r="G12">
        <v>48</v>
      </c>
    </row>
    <row r="13" spans="1:22" x14ac:dyDescent="0.25">
      <c r="A13" t="s">
        <v>33</v>
      </c>
      <c r="B13">
        <v>18681</v>
      </c>
      <c r="C13">
        <v>22334</v>
      </c>
      <c r="D13">
        <v>15613</v>
      </c>
      <c r="E13">
        <v>14326</v>
      </c>
      <c r="F13">
        <v>11167</v>
      </c>
      <c r="G13">
        <v>48</v>
      </c>
    </row>
    <row r="14" spans="1:22" x14ac:dyDescent="0.25">
      <c r="A14" t="s">
        <v>34</v>
      </c>
      <c r="B14">
        <v>20118</v>
      </c>
      <c r="C14">
        <v>24052</v>
      </c>
      <c r="D14">
        <v>16814</v>
      </c>
      <c r="E14">
        <v>15428</v>
      </c>
      <c r="F14">
        <v>12026</v>
      </c>
      <c r="G14">
        <v>48</v>
      </c>
    </row>
    <row r="15" spans="1:22" x14ac:dyDescent="0.25">
      <c r="A15" t="s">
        <v>35</v>
      </c>
      <c r="B15">
        <v>21555</v>
      </c>
      <c r="C15">
        <v>25770</v>
      </c>
      <c r="D15">
        <v>18015</v>
      </c>
      <c r="E15">
        <v>16530</v>
      </c>
      <c r="F15">
        <v>12885</v>
      </c>
      <c r="G15">
        <v>48</v>
      </c>
    </row>
    <row r="16" spans="1:22" x14ac:dyDescent="0.25">
      <c r="A16" t="s">
        <v>36</v>
      </c>
      <c r="B16">
        <v>22992</v>
      </c>
      <c r="C16">
        <v>27488</v>
      </c>
      <c r="D16">
        <v>19216</v>
      </c>
      <c r="E16">
        <v>17632</v>
      </c>
      <c r="F16">
        <v>13744</v>
      </c>
      <c r="G16">
        <v>48</v>
      </c>
    </row>
    <row r="17" spans="1:18" x14ac:dyDescent="0.25">
      <c r="A17" t="s">
        <v>37</v>
      </c>
      <c r="B17">
        <v>24429</v>
      </c>
      <c r="C17">
        <v>29206</v>
      </c>
      <c r="D17">
        <v>20417</v>
      </c>
      <c r="E17">
        <v>18734</v>
      </c>
      <c r="F17">
        <v>14603</v>
      </c>
      <c r="G17">
        <v>48</v>
      </c>
    </row>
    <row r="18" spans="1:18" x14ac:dyDescent="0.25">
      <c r="A18" t="s">
        <v>38</v>
      </c>
      <c r="B18">
        <v>25866</v>
      </c>
      <c r="C18">
        <v>30924</v>
      </c>
      <c r="D18">
        <v>21618</v>
      </c>
      <c r="E18">
        <v>19836</v>
      </c>
      <c r="F18">
        <v>15462</v>
      </c>
      <c r="G18">
        <v>48</v>
      </c>
    </row>
    <row r="19" spans="1:18" x14ac:dyDescent="0.25">
      <c r="A19" t="s">
        <v>39</v>
      </c>
      <c r="B19">
        <v>27303</v>
      </c>
      <c r="C19">
        <v>32642</v>
      </c>
      <c r="D19">
        <v>22819</v>
      </c>
      <c r="E19">
        <v>20938</v>
      </c>
      <c r="F19">
        <v>16321</v>
      </c>
      <c r="G19">
        <v>52</v>
      </c>
    </row>
    <row r="20" spans="1:18" x14ac:dyDescent="0.25">
      <c r="A20" t="s">
        <v>40</v>
      </c>
      <c r="B20">
        <v>28740</v>
      </c>
      <c r="C20">
        <v>34360</v>
      </c>
      <c r="D20">
        <v>24020</v>
      </c>
      <c r="E20">
        <v>22040</v>
      </c>
      <c r="F20">
        <v>17180</v>
      </c>
      <c r="G20">
        <v>56</v>
      </c>
    </row>
    <row r="21" spans="1:18" x14ac:dyDescent="0.25">
      <c r="A21" t="s">
        <v>43</v>
      </c>
      <c r="B21">
        <v>30177</v>
      </c>
      <c r="C21">
        <v>36078</v>
      </c>
      <c r="D21">
        <v>25221</v>
      </c>
      <c r="E21">
        <v>23142</v>
      </c>
      <c r="F21">
        <v>18039</v>
      </c>
      <c r="G21">
        <v>60</v>
      </c>
    </row>
    <row r="22" spans="1:18" x14ac:dyDescent="0.25">
      <c r="A22" t="s">
        <v>44</v>
      </c>
      <c r="B22">
        <v>31614</v>
      </c>
      <c r="C22">
        <v>37796</v>
      </c>
      <c r="D22">
        <v>26422</v>
      </c>
      <c r="E22">
        <v>24244</v>
      </c>
      <c r="F22">
        <v>18898</v>
      </c>
      <c r="G22">
        <v>64</v>
      </c>
    </row>
    <row r="24" spans="1:18" x14ac:dyDescent="0.25">
      <c r="A24" s="7" t="s">
        <v>21</v>
      </c>
      <c r="E24" s="7"/>
      <c r="F24" s="55"/>
      <c r="G24" s="7"/>
      <c r="H24" s="7"/>
      <c r="I24" s="7"/>
      <c r="J24" s="54"/>
      <c r="K24" s="7"/>
      <c r="M24" s="7"/>
      <c r="N24" s="55"/>
      <c r="P24" s="7"/>
      <c r="Q24" s="7"/>
      <c r="R24" s="7"/>
    </row>
    <row r="25" spans="1:18" x14ac:dyDescent="0.25">
      <c r="A25" t="s">
        <v>4</v>
      </c>
      <c r="B25">
        <v>1990</v>
      </c>
      <c r="C25">
        <v>250</v>
      </c>
    </row>
    <row r="26" spans="1:18" x14ac:dyDescent="0.25">
      <c r="A26" t="s">
        <v>5</v>
      </c>
      <c r="B26">
        <v>0</v>
      </c>
      <c r="C26">
        <v>0</v>
      </c>
    </row>
    <row r="44" spans="1:9" x14ac:dyDescent="0.25">
      <c r="E44" s="7"/>
      <c r="I44" s="7"/>
    </row>
    <row r="46" spans="1:9" x14ac:dyDescent="0.25">
      <c r="A46" t="s">
        <v>64</v>
      </c>
    </row>
    <row r="47" spans="1:9" x14ac:dyDescent="0.25">
      <c r="A47" t="s">
        <v>65</v>
      </c>
    </row>
    <row r="48" spans="1:9" x14ac:dyDescent="0.25">
      <c r="A48" t="s">
        <v>66</v>
      </c>
    </row>
    <row r="49" spans="1:1" x14ac:dyDescent="0.25">
      <c r="A49" t="s">
        <v>67</v>
      </c>
    </row>
    <row r="50" spans="1:1" x14ac:dyDescent="0.25">
      <c r="A50" t="s">
        <v>68</v>
      </c>
    </row>
    <row r="51" spans="1:1" x14ac:dyDescent="0.25">
      <c r="A51" t="s">
        <v>69</v>
      </c>
    </row>
  </sheetData>
  <sheetProtection algorithmName="SHA-512" hashValue="P1DWsH+HzV7l8PfhnHEFBVCe92D5VD/vozPosufu6a5sacdy8C62oGNMrM2mRI/nGd4lKPeRvXZVRekb4zLiMw==" saltValue="/yi5vkKPCfRltzxsT6gh1A=="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Worksheets Home</vt:lpstr>
      <vt:lpstr>CFSP, CP, CI, HE, RMS</vt:lpstr>
      <vt:lpstr>Ph.D., Ed.D.</vt:lpstr>
      <vt:lpstr>ECSE, ELPS, TE</vt:lpstr>
      <vt:lpstr>On-Campus MLIS</vt:lpstr>
      <vt:lpstr>Online Programs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Westendorf</dc:creator>
  <cp:lastModifiedBy>Jaz Howard</cp:lastModifiedBy>
  <cp:lastPrinted>2019-02-07T21:36:17Z</cp:lastPrinted>
  <dcterms:created xsi:type="dcterms:W3CDTF">2018-06-06T22:54:45Z</dcterms:created>
  <dcterms:modified xsi:type="dcterms:W3CDTF">2025-02-21T19:04:10Z</dcterms:modified>
</cp:coreProperties>
</file>